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autoCompressPictures="0" defaultThemeVersion="124226"/>
  <mc:AlternateContent xmlns:mc="http://schemas.openxmlformats.org/markup-compatibility/2006">
    <mc:Choice Requires="x15">
      <x15ac:absPath xmlns:x15ac="http://schemas.microsoft.com/office/spreadsheetml/2010/11/ac" url="/Users/josephneary/Documents/4SS/Charter Applications/Louisiana/18-19/The Next Generation Academy/"/>
    </mc:Choice>
  </mc:AlternateContent>
  <xr:revisionPtr revIDLastSave="0" documentId="13_ncr:1_{7B9B3D63-A9F6-6544-AA9F-502598B16E99}" xr6:coauthVersionLast="36" xr6:coauthVersionMax="36" xr10:uidLastSave="{00000000-0000-0000-0000-000000000000}"/>
  <bookViews>
    <workbookView xWindow="0" yWindow="460" windowWidth="25600" windowHeight="14480" tabRatio="782" firstSheet="1" activeTab="3" xr2:uid="{00000000-000D-0000-FFFF-FFFF00000000}"/>
  </bookViews>
  <sheets>
    <sheet name="Instructions" sheetId="14" r:id="rId1"/>
    <sheet name="Startup Statement of Activities" sheetId="6" r:id="rId2"/>
    <sheet name="Yr 1 Operating Statement of Act" sheetId="10" r:id="rId3"/>
    <sheet name="Operating Statement of Act" sheetId="4" r:id="rId4"/>
    <sheet name="Year 1 Cash Flow Projection" sheetId="5" r:id="rId5"/>
    <sheet name="Assumptions" sheetId="15" r:id="rId6"/>
    <sheet name="Assumptions Expenses" sheetId="16" r:id="rId7"/>
  </sheets>
  <definedNames>
    <definedName name="_xlnm.Print_Area" localSheetId="1">'Startup Statement of Activities'!$A$1:$H$51</definedName>
    <definedName name="_xlnm.Print_Area" localSheetId="4">'Year 1 Cash Flow Projection'!$A$1:$S$399</definedName>
    <definedName name="_xlnm.Print_Area" localSheetId="2">'Yr 1 Operating Statement of Act'!$A$1:$T$402</definedName>
    <definedName name="_xlnm.Print_Titles" localSheetId="3">'Operating Statement of Act'!$1:$7</definedName>
    <definedName name="_xlnm.Print_Titles" localSheetId="4">'Year 1 Cash Flow Projection'!$1:$5</definedName>
    <definedName name="_xlnm.Print_Titles" localSheetId="2">'Yr 1 Operating Statement of Act'!$1:$7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Q49" i="15" l="1"/>
  <c r="G95" i="10"/>
  <c r="F19" i="6"/>
  <c r="G13" i="4"/>
  <c r="J62" i="4"/>
  <c r="K62" i="4"/>
  <c r="I62" i="4"/>
  <c r="G18" i="4"/>
  <c r="G18" i="10"/>
  <c r="K11" i="4"/>
  <c r="J11" i="4"/>
  <c r="I11" i="4"/>
  <c r="H11" i="4"/>
  <c r="I330" i="5"/>
  <c r="G209" i="10"/>
  <c r="G206" i="5"/>
  <c r="H206" i="5"/>
  <c r="G270" i="10"/>
  <c r="H267" i="5"/>
  <c r="G269" i="10"/>
  <c r="H266" i="5"/>
  <c r="H265" i="5"/>
  <c r="H269" i="5"/>
  <c r="H130" i="5"/>
  <c r="G130" i="5"/>
  <c r="H115" i="5"/>
  <c r="H103" i="5"/>
  <c r="G103" i="5"/>
  <c r="H82" i="5"/>
  <c r="H81" i="5"/>
  <c r="H80" i="5"/>
  <c r="H79" i="5"/>
  <c r="H78" i="5"/>
  <c r="H77" i="5"/>
  <c r="G77" i="5"/>
  <c r="G21" i="10"/>
  <c r="G65" i="10"/>
  <c r="G70" i="10"/>
  <c r="G16" i="5"/>
  <c r="H16" i="5"/>
  <c r="I16" i="5"/>
  <c r="J16" i="5"/>
  <c r="K16" i="5"/>
  <c r="L16" i="5"/>
  <c r="M16" i="5"/>
  <c r="N16" i="5"/>
  <c r="O16" i="5"/>
  <c r="P16" i="5"/>
  <c r="Q16" i="5"/>
  <c r="R16" i="5"/>
  <c r="S16" i="5"/>
  <c r="G9" i="5"/>
  <c r="H9" i="5"/>
  <c r="I9" i="5"/>
  <c r="J9" i="5"/>
  <c r="K9" i="5"/>
  <c r="L9" i="5"/>
  <c r="M9" i="5"/>
  <c r="N9" i="5"/>
  <c r="O9" i="5"/>
  <c r="P9" i="5"/>
  <c r="Q9" i="5"/>
  <c r="R9" i="5"/>
  <c r="S9" i="5"/>
  <c r="G10" i="5"/>
  <c r="H10" i="5"/>
  <c r="I10" i="5"/>
  <c r="J10" i="5"/>
  <c r="K10" i="5"/>
  <c r="L10" i="5"/>
  <c r="M10" i="5"/>
  <c r="N10" i="5"/>
  <c r="O10" i="5"/>
  <c r="P10" i="5"/>
  <c r="Q10" i="5"/>
  <c r="R10" i="5"/>
  <c r="S10" i="5"/>
  <c r="G11" i="5"/>
  <c r="H11" i="5"/>
  <c r="I11" i="5"/>
  <c r="J11" i="5"/>
  <c r="K11" i="5"/>
  <c r="L11" i="5"/>
  <c r="M11" i="5"/>
  <c r="N11" i="5"/>
  <c r="O11" i="5"/>
  <c r="P11" i="5"/>
  <c r="Q11" i="5"/>
  <c r="R11" i="5"/>
  <c r="S11" i="5"/>
  <c r="G12" i="5"/>
  <c r="H12" i="5"/>
  <c r="I12" i="5"/>
  <c r="J12" i="5"/>
  <c r="K12" i="5"/>
  <c r="L12" i="5"/>
  <c r="M12" i="5"/>
  <c r="N12" i="5"/>
  <c r="O12" i="5"/>
  <c r="P12" i="5"/>
  <c r="Q12" i="5"/>
  <c r="R12" i="5"/>
  <c r="S12" i="5"/>
  <c r="G14" i="5"/>
  <c r="H14" i="5"/>
  <c r="I14" i="5"/>
  <c r="J14" i="5"/>
  <c r="K14" i="5"/>
  <c r="L14" i="5"/>
  <c r="M14" i="5"/>
  <c r="N14" i="5"/>
  <c r="O14" i="5"/>
  <c r="P14" i="5"/>
  <c r="Q14" i="5"/>
  <c r="R14" i="5"/>
  <c r="S14" i="5"/>
  <c r="G15" i="5"/>
  <c r="H15" i="5"/>
  <c r="I15" i="5"/>
  <c r="J15" i="5"/>
  <c r="K15" i="5"/>
  <c r="L15" i="5"/>
  <c r="M15" i="5"/>
  <c r="N15" i="5"/>
  <c r="O15" i="5"/>
  <c r="P15" i="5"/>
  <c r="Q15" i="5"/>
  <c r="R15" i="5"/>
  <c r="S15" i="5"/>
  <c r="S19" i="5"/>
  <c r="G23" i="5"/>
  <c r="H23" i="5"/>
  <c r="I23" i="5"/>
  <c r="J23" i="5"/>
  <c r="K23" i="5"/>
  <c r="L23" i="5"/>
  <c r="M23" i="5"/>
  <c r="N23" i="5"/>
  <c r="O23" i="5"/>
  <c r="P23" i="5"/>
  <c r="Q23" i="5"/>
  <c r="R23" i="5"/>
  <c r="S23" i="5"/>
  <c r="G24" i="5"/>
  <c r="H24" i="5"/>
  <c r="I24" i="5"/>
  <c r="J24" i="5"/>
  <c r="K24" i="5"/>
  <c r="L24" i="5"/>
  <c r="M24" i="5"/>
  <c r="N24" i="5"/>
  <c r="O24" i="5"/>
  <c r="P24" i="5"/>
  <c r="Q24" i="5"/>
  <c r="R24" i="5"/>
  <c r="S24" i="5"/>
  <c r="G26" i="5"/>
  <c r="H26" i="5"/>
  <c r="I26" i="5"/>
  <c r="J26" i="5"/>
  <c r="K26" i="5"/>
  <c r="L26" i="5"/>
  <c r="M26" i="5"/>
  <c r="N26" i="5"/>
  <c r="O26" i="5"/>
  <c r="P26" i="5"/>
  <c r="Q26" i="5"/>
  <c r="R26" i="5"/>
  <c r="S26" i="5"/>
  <c r="G27" i="5"/>
  <c r="H27" i="5"/>
  <c r="I27" i="5"/>
  <c r="J27" i="5"/>
  <c r="K27" i="5"/>
  <c r="L27" i="5"/>
  <c r="M27" i="5"/>
  <c r="N27" i="5"/>
  <c r="O27" i="5"/>
  <c r="P27" i="5"/>
  <c r="Q27" i="5"/>
  <c r="R27" i="5"/>
  <c r="S27" i="5"/>
  <c r="G28" i="5"/>
  <c r="H28" i="5"/>
  <c r="I28" i="5"/>
  <c r="J28" i="5"/>
  <c r="K28" i="5"/>
  <c r="L28" i="5"/>
  <c r="M28" i="5"/>
  <c r="N28" i="5"/>
  <c r="O28" i="5"/>
  <c r="P28" i="5"/>
  <c r="Q28" i="5"/>
  <c r="R28" i="5"/>
  <c r="S28" i="5"/>
  <c r="S31" i="5"/>
  <c r="I45" i="5"/>
  <c r="J45" i="5"/>
  <c r="K45" i="5"/>
  <c r="L45" i="5"/>
  <c r="M45" i="5"/>
  <c r="N45" i="5"/>
  <c r="O45" i="5"/>
  <c r="P45" i="5"/>
  <c r="Q45" i="5"/>
  <c r="R45" i="5"/>
  <c r="S45" i="5"/>
  <c r="I47" i="5"/>
  <c r="J47" i="5"/>
  <c r="K47" i="5"/>
  <c r="L47" i="5"/>
  <c r="M47" i="5"/>
  <c r="N47" i="5"/>
  <c r="O47" i="5"/>
  <c r="P47" i="5"/>
  <c r="Q47" i="5"/>
  <c r="R47" i="5"/>
  <c r="S47" i="5"/>
  <c r="I48" i="5"/>
  <c r="J48" i="5"/>
  <c r="K48" i="5"/>
  <c r="L48" i="5"/>
  <c r="M48" i="5"/>
  <c r="N48" i="5"/>
  <c r="O48" i="5"/>
  <c r="P48" i="5"/>
  <c r="Q48" i="5"/>
  <c r="R48" i="5"/>
  <c r="S48" i="5"/>
  <c r="I49" i="5"/>
  <c r="J49" i="5"/>
  <c r="K49" i="5"/>
  <c r="L49" i="5"/>
  <c r="M49" i="5"/>
  <c r="N49" i="5"/>
  <c r="O49" i="5"/>
  <c r="P49" i="5"/>
  <c r="Q49" i="5"/>
  <c r="R49" i="5"/>
  <c r="S49" i="5"/>
  <c r="I51" i="5"/>
  <c r="J51" i="5"/>
  <c r="K51" i="5"/>
  <c r="L51" i="5"/>
  <c r="M51" i="5"/>
  <c r="N51" i="5"/>
  <c r="O51" i="5"/>
  <c r="P51" i="5"/>
  <c r="Q51" i="5"/>
  <c r="R51" i="5"/>
  <c r="S51" i="5"/>
  <c r="I52" i="5"/>
  <c r="J52" i="5"/>
  <c r="K52" i="5"/>
  <c r="L52" i="5"/>
  <c r="M52" i="5"/>
  <c r="N52" i="5"/>
  <c r="O52" i="5"/>
  <c r="P52" i="5"/>
  <c r="Q52" i="5"/>
  <c r="R52" i="5"/>
  <c r="S52" i="5"/>
  <c r="I53" i="5"/>
  <c r="J53" i="5"/>
  <c r="K53" i="5"/>
  <c r="L53" i="5"/>
  <c r="M53" i="5"/>
  <c r="N53" i="5"/>
  <c r="O53" i="5"/>
  <c r="P53" i="5"/>
  <c r="Q53" i="5"/>
  <c r="R53" i="5"/>
  <c r="S53" i="5"/>
  <c r="I54" i="5"/>
  <c r="J54" i="5"/>
  <c r="K54" i="5"/>
  <c r="L54" i="5"/>
  <c r="M54" i="5"/>
  <c r="N54" i="5"/>
  <c r="O54" i="5"/>
  <c r="P54" i="5"/>
  <c r="Q54" i="5"/>
  <c r="R54" i="5"/>
  <c r="S54" i="5"/>
  <c r="I55" i="5"/>
  <c r="J55" i="5"/>
  <c r="K55" i="5"/>
  <c r="L55" i="5"/>
  <c r="M55" i="5"/>
  <c r="N55" i="5"/>
  <c r="O55" i="5"/>
  <c r="P55" i="5"/>
  <c r="Q55" i="5"/>
  <c r="R55" i="5"/>
  <c r="S55" i="5"/>
  <c r="I56" i="5"/>
  <c r="J56" i="5"/>
  <c r="K56" i="5"/>
  <c r="L56" i="5"/>
  <c r="M56" i="5"/>
  <c r="N56" i="5"/>
  <c r="O56" i="5"/>
  <c r="P56" i="5"/>
  <c r="Q56" i="5"/>
  <c r="R56" i="5"/>
  <c r="S56" i="5"/>
  <c r="H57" i="5"/>
  <c r="S57" i="5"/>
  <c r="I59" i="5"/>
  <c r="J59" i="5"/>
  <c r="K59" i="5"/>
  <c r="L59" i="5"/>
  <c r="M59" i="5"/>
  <c r="N59" i="5"/>
  <c r="O59" i="5"/>
  <c r="P59" i="5"/>
  <c r="Q59" i="5"/>
  <c r="R59" i="5"/>
  <c r="S59" i="5"/>
  <c r="S63" i="5"/>
  <c r="S68" i="5"/>
  <c r="T68" i="5"/>
  <c r="T31" i="5"/>
  <c r="G59" i="4"/>
  <c r="G47" i="10"/>
  <c r="G174" i="10"/>
  <c r="G175" i="10"/>
  <c r="G184" i="10"/>
  <c r="G183" i="10"/>
  <c r="G182" i="10"/>
  <c r="G181" i="10"/>
  <c r="G180" i="10"/>
  <c r="K51" i="4"/>
  <c r="J51" i="4"/>
  <c r="I51" i="4"/>
  <c r="H51" i="4"/>
  <c r="G51" i="4"/>
  <c r="G139" i="4"/>
  <c r="H139" i="4"/>
  <c r="I139" i="4"/>
  <c r="J139" i="4"/>
  <c r="K139" i="4"/>
  <c r="K143" i="4"/>
  <c r="J143" i="4"/>
  <c r="I143" i="4"/>
  <c r="H143" i="4"/>
  <c r="L45" i="15"/>
  <c r="K132" i="4"/>
  <c r="K133" i="4"/>
  <c r="K134" i="4"/>
  <c r="K148" i="4"/>
  <c r="K45" i="15"/>
  <c r="J132" i="4"/>
  <c r="J133" i="4"/>
  <c r="J134" i="4"/>
  <c r="J148" i="4"/>
  <c r="I133" i="4"/>
  <c r="I134" i="4"/>
  <c r="I148" i="4"/>
  <c r="K147" i="4"/>
  <c r="J147" i="4"/>
  <c r="I147" i="4"/>
  <c r="K146" i="4"/>
  <c r="J146" i="4"/>
  <c r="I146" i="4"/>
  <c r="K145" i="4"/>
  <c r="J145" i="4"/>
  <c r="I145" i="4"/>
  <c r="K144" i="4"/>
  <c r="J144" i="4"/>
  <c r="I144" i="4"/>
  <c r="H133" i="4"/>
  <c r="H134" i="4"/>
  <c r="H148" i="4"/>
  <c r="H147" i="4"/>
  <c r="H146" i="4"/>
  <c r="H145" i="4"/>
  <c r="H144" i="4"/>
  <c r="I132" i="4"/>
  <c r="H132" i="4"/>
  <c r="G143" i="10"/>
  <c r="G146" i="10"/>
  <c r="G132" i="10"/>
  <c r="J45" i="15"/>
  <c r="I45" i="15"/>
  <c r="H45" i="15"/>
  <c r="I43" i="15"/>
  <c r="J43" i="15"/>
  <c r="K43" i="15"/>
  <c r="L43" i="15"/>
  <c r="I42" i="15"/>
  <c r="J42" i="15"/>
  <c r="K42" i="15"/>
  <c r="L42" i="15"/>
  <c r="I41" i="15"/>
  <c r="J41" i="15"/>
  <c r="K41" i="15"/>
  <c r="L41" i="15"/>
  <c r="I40" i="15"/>
  <c r="J40" i="15"/>
  <c r="K40" i="15"/>
  <c r="L40" i="15"/>
  <c r="I39" i="15"/>
  <c r="J39" i="15"/>
  <c r="K39" i="15"/>
  <c r="L39" i="15"/>
  <c r="I38" i="15"/>
  <c r="J38" i="15"/>
  <c r="K38" i="15"/>
  <c r="L38" i="15"/>
  <c r="I37" i="15"/>
  <c r="J37" i="15"/>
  <c r="K37" i="15"/>
  <c r="L37" i="15"/>
  <c r="I36" i="15"/>
  <c r="J36" i="15"/>
  <c r="K36" i="15"/>
  <c r="L36" i="15"/>
  <c r="I38" i="16"/>
  <c r="G38" i="16"/>
  <c r="E38" i="16"/>
  <c r="C38" i="16"/>
  <c r="K35" i="16"/>
  <c r="I35" i="16"/>
  <c r="G35" i="16"/>
  <c r="E35" i="16"/>
  <c r="C35" i="16"/>
  <c r="L16" i="15"/>
  <c r="L15" i="15"/>
  <c r="L14" i="15"/>
  <c r="L13" i="15"/>
  <c r="L12" i="15"/>
  <c r="L11" i="15"/>
  <c r="L10" i="15"/>
  <c r="L9" i="15"/>
  <c r="L8" i="15"/>
  <c r="L7" i="15"/>
  <c r="L6" i="15"/>
  <c r="L5" i="15"/>
  <c r="L4" i="15"/>
  <c r="K16" i="15"/>
  <c r="K15" i="15"/>
  <c r="K14" i="15"/>
  <c r="K13" i="15"/>
  <c r="K12" i="15"/>
  <c r="K11" i="15"/>
  <c r="K10" i="15"/>
  <c r="K9" i="15"/>
  <c r="K8" i="15"/>
  <c r="K7" i="15"/>
  <c r="K6" i="15"/>
  <c r="K5" i="15"/>
  <c r="K4" i="15"/>
  <c r="J16" i="15"/>
  <c r="J15" i="15"/>
  <c r="J14" i="15"/>
  <c r="J13" i="15"/>
  <c r="J12" i="15"/>
  <c r="J11" i="15"/>
  <c r="J10" i="15"/>
  <c r="J9" i="15"/>
  <c r="J8" i="15"/>
  <c r="J7" i="15"/>
  <c r="J6" i="15"/>
  <c r="J5" i="15"/>
  <c r="J4" i="15"/>
  <c r="I16" i="15"/>
  <c r="I15" i="15"/>
  <c r="I14" i="15"/>
  <c r="I13" i="15"/>
  <c r="I12" i="15"/>
  <c r="I11" i="15"/>
  <c r="I10" i="15"/>
  <c r="I9" i="15"/>
  <c r="I8" i="15"/>
  <c r="I7" i="15"/>
  <c r="I6" i="15"/>
  <c r="I5" i="15"/>
  <c r="I4" i="15"/>
  <c r="H16" i="15"/>
  <c r="H15" i="15"/>
  <c r="H14" i="15"/>
  <c r="H13" i="15"/>
  <c r="H12" i="15"/>
  <c r="H11" i="15"/>
  <c r="H10" i="15"/>
  <c r="H9" i="15"/>
  <c r="H8" i="15"/>
  <c r="H7" i="15"/>
  <c r="H6" i="15"/>
  <c r="H5" i="15"/>
  <c r="H4" i="15"/>
  <c r="E28" i="16"/>
  <c r="G28" i="16"/>
  <c r="I28" i="16"/>
  <c r="K28" i="16"/>
  <c r="K234" i="4"/>
  <c r="K235" i="4"/>
  <c r="K236" i="4"/>
  <c r="K249" i="4"/>
  <c r="J234" i="4"/>
  <c r="J235" i="4"/>
  <c r="J236" i="4"/>
  <c r="J249" i="4"/>
  <c r="I234" i="4"/>
  <c r="I235" i="4"/>
  <c r="I236" i="4"/>
  <c r="I249" i="4"/>
  <c r="H234" i="4"/>
  <c r="H235" i="4"/>
  <c r="H236" i="4"/>
  <c r="H249" i="4"/>
  <c r="K247" i="4"/>
  <c r="J247" i="4"/>
  <c r="I247" i="4"/>
  <c r="H247" i="4"/>
  <c r="E23" i="16"/>
  <c r="G23" i="16"/>
  <c r="I23" i="16"/>
  <c r="K23" i="16"/>
  <c r="K208" i="4"/>
  <c r="E24" i="16"/>
  <c r="G24" i="16"/>
  <c r="I24" i="16"/>
  <c r="K24" i="16"/>
  <c r="K209" i="4"/>
  <c r="K223" i="4"/>
  <c r="J208" i="4"/>
  <c r="J209" i="4"/>
  <c r="J223" i="4"/>
  <c r="I208" i="4"/>
  <c r="I209" i="4"/>
  <c r="I223" i="4"/>
  <c r="H208" i="4"/>
  <c r="H209" i="4"/>
  <c r="H223" i="4"/>
  <c r="K221" i="4"/>
  <c r="J221" i="4"/>
  <c r="I221" i="4"/>
  <c r="H221" i="4"/>
  <c r="G175" i="4"/>
  <c r="K175" i="4"/>
  <c r="E19" i="16"/>
  <c r="G19" i="16"/>
  <c r="I19" i="16"/>
  <c r="K19" i="16"/>
  <c r="K174" i="4"/>
  <c r="K182" i="4"/>
  <c r="J175" i="4"/>
  <c r="J174" i="4"/>
  <c r="J182" i="4"/>
  <c r="I175" i="4"/>
  <c r="I174" i="4"/>
  <c r="I182" i="4"/>
  <c r="H175" i="4"/>
  <c r="H174" i="4"/>
  <c r="H182" i="4"/>
  <c r="K180" i="4"/>
  <c r="J180" i="4"/>
  <c r="I180" i="4"/>
  <c r="H180" i="4"/>
  <c r="E13" i="16"/>
  <c r="G13" i="16"/>
  <c r="I13" i="16"/>
  <c r="K13" i="16"/>
  <c r="K158" i="4"/>
  <c r="E14" i="16"/>
  <c r="G14" i="16"/>
  <c r="I14" i="16"/>
  <c r="K14" i="16"/>
  <c r="K159" i="4"/>
  <c r="K165" i="4"/>
  <c r="J158" i="4"/>
  <c r="J159" i="4"/>
  <c r="J165" i="4"/>
  <c r="I158" i="4"/>
  <c r="I159" i="4"/>
  <c r="I165" i="4"/>
  <c r="H158" i="4"/>
  <c r="H159" i="4"/>
  <c r="H165" i="4"/>
  <c r="K163" i="4"/>
  <c r="J163" i="4"/>
  <c r="I163" i="4"/>
  <c r="H163" i="4"/>
  <c r="K120" i="4"/>
  <c r="J120" i="4"/>
  <c r="I120" i="4"/>
  <c r="H120" i="4"/>
  <c r="K118" i="4"/>
  <c r="J118" i="4"/>
  <c r="I118" i="4"/>
  <c r="H118" i="4"/>
  <c r="G234" i="10"/>
  <c r="G249" i="10"/>
  <c r="G247" i="10"/>
  <c r="G208" i="10"/>
  <c r="G223" i="10"/>
  <c r="G221" i="10"/>
  <c r="G158" i="10"/>
  <c r="G159" i="10"/>
  <c r="G163" i="10"/>
  <c r="G165" i="10"/>
  <c r="G120" i="10"/>
  <c r="G118" i="10"/>
  <c r="H17" i="15"/>
  <c r="H18" i="15"/>
  <c r="H19" i="15"/>
  <c r="D2" i="16"/>
  <c r="G79" i="10"/>
  <c r="G93" i="10"/>
  <c r="G91" i="10"/>
  <c r="L17" i="15"/>
  <c r="L18" i="15"/>
  <c r="L19" i="15"/>
  <c r="L2" i="16"/>
  <c r="K79" i="4"/>
  <c r="G81" i="4"/>
  <c r="H81" i="4"/>
  <c r="I81" i="4"/>
  <c r="J81" i="4"/>
  <c r="K81" i="4"/>
  <c r="K93" i="4"/>
  <c r="K17" i="15"/>
  <c r="K18" i="15"/>
  <c r="K19" i="15"/>
  <c r="J2" i="16"/>
  <c r="J79" i="4"/>
  <c r="J93" i="4"/>
  <c r="J17" i="15"/>
  <c r="J18" i="15"/>
  <c r="J19" i="15"/>
  <c r="H2" i="16"/>
  <c r="I79" i="4"/>
  <c r="I93" i="4"/>
  <c r="I17" i="15"/>
  <c r="I18" i="15"/>
  <c r="I19" i="15"/>
  <c r="F2" i="16"/>
  <c r="H79" i="4"/>
  <c r="H93" i="4"/>
  <c r="K91" i="4"/>
  <c r="J91" i="4"/>
  <c r="I91" i="4"/>
  <c r="H91" i="4"/>
  <c r="G312" i="10"/>
  <c r="K47" i="4"/>
  <c r="G56" i="4"/>
  <c r="H56" i="4"/>
  <c r="I56" i="4"/>
  <c r="J56" i="4"/>
  <c r="K56" i="4"/>
  <c r="G58" i="4"/>
  <c r="H58" i="4"/>
  <c r="I58" i="4"/>
  <c r="J58" i="4"/>
  <c r="K58" i="4"/>
  <c r="G61" i="4"/>
  <c r="K61" i="4"/>
  <c r="K65" i="4"/>
  <c r="K21" i="4"/>
  <c r="K70" i="4"/>
  <c r="K312" i="4"/>
  <c r="J47" i="4"/>
  <c r="J61" i="4"/>
  <c r="J65" i="4"/>
  <c r="J21" i="4"/>
  <c r="J70" i="4"/>
  <c r="J312" i="4"/>
  <c r="I47" i="4"/>
  <c r="I61" i="4"/>
  <c r="I65" i="4"/>
  <c r="I21" i="4"/>
  <c r="I70" i="4"/>
  <c r="I312" i="4"/>
  <c r="H47" i="4"/>
  <c r="H61" i="4"/>
  <c r="H65" i="4"/>
  <c r="H21" i="4"/>
  <c r="H70" i="4"/>
  <c r="H312" i="4"/>
  <c r="K18" i="4"/>
  <c r="J18" i="4"/>
  <c r="I18" i="4"/>
  <c r="H18" i="4"/>
  <c r="J105" i="4"/>
  <c r="G178" i="4"/>
  <c r="K178" i="4"/>
  <c r="J178" i="4"/>
  <c r="I178" i="4"/>
  <c r="H178" i="4"/>
  <c r="G315" i="4"/>
  <c r="K315" i="4"/>
  <c r="J315" i="4"/>
  <c r="I315" i="4"/>
  <c r="H315" i="4"/>
  <c r="G268" i="4"/>
  <c r="K268" i="4"/>
  <c r="J268" i="4"/>
  <c r="I268" i="4"/>
  <c r="H268" i="4"/>
  <c r="G194" i="4"/>
  <c r="K194" i="4"/>
  <c r="J194" i="4"/>
  <c r="I194" i="4"/>
  <c r="H194" i="4"/>
  <c r="G193" i="4"/>
  <c r="K193" i="4"/>
  <c r="J193" i="4"/>
  <c r="I193" i="4"/>
  <c r="H193" i="4"/>
  <c r="G245" i="4"/>
  <c r="K245" i="4"/>
  <c r="J245" i="4"/>
  <c r="I245" i="4"/>
  <c r="H245" i="4"/>
  <c r="G195" i="4"/>
  <c r="K195" i="4"/>
  <c r="J195" i="4"/>
  <c r="I195" i="4"/>
  <c r="H195" i="4"/>
  <c r="G315" i="10"/>
  <c r="L7" i="16"/>
  <c r="J7" i="16"/>
  <c r="H7" i="16"/>
  <c r="F7" i="16"/>
  <c r="D7" i="16"/>
  <c r="L24" i="15"/>
  <c r="K24" i="15"/>
  <c r="J24" i="15"/>
  <c r="I24" i="15"/>
  <c r="L21" i="15"/>
  <c r="K21" i="15"/>
  <c r="J21" i="15"/>
  <c r="I21" i="15"/>
  <c r="H24" i="15"/>
  <c r="H21" i="15"/>
  <c r="K30" i="4"/>
  <c r="J30" i="4"/>
  <c r="I30" i="4"/>
  <c r="H30" i="4"/>
  <c r="K28" i="4"/>
  <c r="J28" i="4"/>
  <c r="I28" i="4"/>
  <c r="H28" i="4"/>
  <c r="G30" i="10"/>
  <c r="G28" i="10"/>
  <c r="G11" i="10"/>
  <c r="G11" i="4"/>
  <c r="M11" i="4"/>
  <c r="K26" i="4"/>
  <c r="J26" i="4"/>
  <c r="G26" i="10"/>
  <c r="H26" i="4"/>
  <c r="I26" i="4"/>
  <c r="G105" i="10"/>
  <c r="G210" i="10"/>
  <c r="G273" i="10"/>
  <c r="K33" i="4"/>
  <c r="J33" i="4"/>
  <c r="I33" i="4"/>
  <c r="H33" i="4"/>
  <c r="G25" i="10"/>
  <c r="K38" i="16"/>
  <c r="K289" i="4"/>
  <c r="J289" i="4"/>
  <c r="I289" i="4"/>
  <c r="H289" i="4"/>
  <c r="G289" i="10"/>
  <c r="G33" i="10"/>
  <c r="F17" i="15"/>
  <c r="D71" i="15"/>
  <c r="K16" i="4"/>
  <c r="E17" i="15"/>
  <c r="J16" i="4"/>
  <c r="D17" i="15"/>
  <c r="I16" i="4"/>
  <c r="C17" i="15"/>
  <c r="H16" i="4"/>
  <c r="F26" i="15"/>
  <c r="F18" i="15"/>
  <c r="F27" i="15"/>
  <c r="E26" i="15"/>
  <c r="E18" i="15"/>
  <c r="E27" i="15"/>
  <c r="D26" i="15"/>
  <c r="D18" i="15"/>
  <c r="D27" i="15"/>
  <c r="C26" i="15"/>
  <c r="C18" i="15"/>
  <c r="C27" i="15"/>
  <c r="B26" i="15"/>
  <c r="B17" i="15"/>
  <c r="B18" i="15"/>
  <c r="B27" i="15"/>
  <c r="G16" i="10"/>
  <c r="D41" i="15"/>
  <c r="G90" i="10"/>
  <c r="G88" i="5"/>
  <c r="G79" i="5"/>
  <c r="G80" i="10"/>
  <c r="G78" i="5"/>
  <c r="G244" i="4"/>
  <c r="H244" i="4"/>
  <c r="I244" i="4"/>
  <c r="J244" i="4"/>
  <c r="K244" i="4"/>
  <c r="G321" i="4"/>
  <c r="H321" i="4"/>
  <c r="G320" i="4"/>
  <c r="H320" i="4"/>
  <c r="G319" i="4"/>
  <c r="H319" i="4"/>
  <c r="G318" i="4"/>
  <c r="H318" i="4"/>
  <c r="G317" i="4"/>
  <c r="H317" i="4"/>
  <c r="G316" i="4"/>
  <c r="H316" i="4"/>
  <c r="K25" i="4"/>
  <c r="K199" i="4"/>
  <c r="J25" i="4"/>
  <c r="J199" i="4"/>
  <c r="I25" i="4"/>
  <c r="I199" i="4"/>
  <c r="H25" i="4"/>
  <c r="H199" i="4"/>
  <c r="G199" i="10"/>
  <c r="G199" i="4"/>
  <c r="G198" i="4"/>
  <c r="H198" i="4"/>
  <c r="I198" i="4"/>
  <c r="J198" i="4"/>
  <c r="K198" i="4"/>
  <c r="F18" i="6"/>
  <c r="F16" i="6"/>
  <c r="F15" i="6"/>
  <c r="F17" i="6"/>
  <c r="K395" i="4"/>
  <c r="J395" i="4"/>
  <c r="I395" i="4"/>
  <c r="H395" i="4"/>
  <c r="K386" i="4"/>
  <c r="J386" i="4"/>
  <c r="I386" i="4"/>
  <c r="H386" i="4"/>
  <c r="K385" i="4"/>
  <c r="J385" i="4"/>
  <c r="I385" i="4"/>
  <c r="H385" i="4"/>
  <c r="K384" i="4"/>
  <c r="J384" i="4"/>
  <c r="I384" i="4"/>
  <c r="H384" i="4"/>
  <c r="K383" i="4"/>
  <c r="J383" i="4"/>
  <c r="I383" i="4"/>
  <c r="H383" i="4"/>
  <c r="K374" i="4"/>
  <c r="J374" i="4"/>
  <c r="I374" i="4"/>
  <c r="H374" i="4"/>
  <c r="K373" i="4"/>
  <c r="J373" i="4"/>
  <c r="I373" i="4"/>
  <c r="H373" i="4"/>
  <c r="K372" i="4"/>
  <c r="J372" i="4"/>
  <c r="I372" i="4"/>
  <c r="H372" i="4"/>
  <c r="K371" i="4"/>
  <c r="J371" i="4"/>
  <c r="I371" i="4"/>
  <c r="H371" i="4"/>
  <c r="K370" i="4"/>
  <c r="J370" i="4"/>
  <c r="I370" i="4"/>
  <c r="H370" i="4"/>
  <c r="K361" i="4"/>
  <c r="J361" i="4"/>
  <c r="I361" i="4"/>
  <c r="K360" i="4"/>
  <c r="J360" i="4"/>
  <c r="I360" i="4"/>
  <c r="K359" i="4"/>
  <c r="J359" i="4"/>
  <c r="I359" i="4"/>
  <c r="K358" i="4"/>
  <c r="J358" i="4"/>
  <c r="I358" i="4"/>
  <c r="K357" i="4"/>
  <c r="J357" i="4"/>
  <c r="I357" i="4"/>
  <c r="K356" i="4"/>
  <c r="J356" i="4"/>
  <c r="I356" i="4"/>
  <c r="K355" i="4"/>
  <c r="J355" i="4"/>
  <c r="I355" i="4"/>
  <c r="H355" i="4"/>
  <c r="K354" i="4"/>
  <c r="J354" i="4"/>
  <c r="I354" i="4"/>
  <c r="H354" i="4"/>
  <c r="K346" i="4"/>
  <c r="J346" i="4"/>
  <c r="I346" i="4"/>
  <c r="K345" i="4"/>
  <c r="J345" i="4"/>
  <c r="I345" i="4"/>
  <c r="K344" i="4"/>
  <c r="J344" i="4"/>
  <c r="I344" i="4"/>
  <c r="K343" i="4"/>
  <c r="J343" i="4"/>
  <c r="I343" i="4"/>
  <c r="K342" i="4"/>
  <c r="J342" i="4"/>
  <c r="I342" i="4"/>
  <c r="K341" i="4"/>
  <c r="J341" i="4"/>
  <c r="I341" i="4"/>
  <c r="K340" i="4"/>
  <c r="J340" i="4"/>
  <c r="I340" i="4"/>
  <c r="K339" i="4"/>
  <c r="J339" i="4"/>
  <c r="I339" i="4"/>
  <c r="H339" i="4"/>
  <c r="K338" i="4"/>
  <c r="J338" i="4"/>
  <c r="I338" i="4"/>
  <c r="H338" i="4"/>
  <c r="K337" i="4"/>
  <c r="J337" i="4"/>
  <c r="I337" i="4"/>
  <c r="H337" i="4"/>
  <c r="K336" i="4"/>
  <c r="J336" i="4"/>
  <c r="I336" i="4"/>
  <c r="H336" i="4"/>
  <c r="K335" i="4"/>
  <c r="J335" i="4"/>
  <c r="I335" i="4"/>
  <c r="H335" i="4"/>
  <c r="K334" i="4"/>
  <c r="J334" i="4"/>
  <c r="I334" i="4"/>
  <c r="H334" i="4"/>
  <c r="K332" i="4"/>
  <c r="J332" i="4"/>
  <c r="I332" i="4"/>
  <c r="H332" i="4"/>
  <c r="K331" i="4"/>
  <c r="J331" i="4"/>
  <c r="I331" i="4"/>
  <c r="H331" i="4"/>
  <c r="K321" i="4"/>
  <c r="J321" i="4"/>
  <c r="I321" i="4"/>
  <c r="K320" i="4"/>
  <c r="J320" i="4"/>
  <c r="I320" i="4"/>
  <c r="K319" i="4"/>
  <c r="J319" i="4"/>
  <c r="I319" i="4"/>
  <c r="K318" i="4"/>
  <c r="J318" i="4"/>
  <c r="I318" i="4"/>
  <c r="K317" i="4"/>
  <c r="J317" i="4"/>
  <c r="I317" i="4"/>
  <c r="K316" i="4"/>
  <c r="J316" i="4"/>
  <c r="I316" i="4"/>
  <c r="K314" i="4"/>
  <c r="J314" i="4"/>
  <c r="I314" i="4"/>
  <c r="H314" i="4"/>
  <c r="K276" i="4"/>
  <c r="J276" i="4"/>
  <c r="I276" i="4"/>
  <c r="H276" i="4"/>
  <c r="K275" i="4"/>
  <c r="J275" i="4"/>
  <c r="I275" i="4"/>
  <c r="H275" i="4"/>
  <c r="K274" i="4"/>
  <c r="J274" i="4"/>
  <c r="I274" i="4"/>
  <c r="H274" i="4"/>
  <c r="K266" i="4"/>
  <c r="J266" i="4"/>
  <c r="I266" i="4"/>
  <c r="H266"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38" i="4"/>
  <c r="J238" i="4"/>
  <c r="I238" i="4"/>
  <c r="H238" i="4"/>
  <c r="K237" i="4"/>
  <c r="J237" i="4"/>
  <c r="I237" i="4"/>
  <c r="H237" i="4"/>
  <c r="K142" i="4"/>
  <c r="J142" i="4"/>
  <c r="I142" i="4"/>
  <c r="H142" i="4"/>
  <c r="K141" i="4"/>
  <c r="J141" i="4"/>
  <c r="I141" i="4"/>
  <c r="H141" i="4"/>
  <c r="K140" i="4"/>
  <c r="J140" i="4"/>
  <c r="I140" i="4"/>
  <c r="H140" i="4"/>
  <c r="K137" i="4"/>
  <c r="J137" i="4"/>
  <c r="I137" i="4"/>
  <c r="H137" i="4"/>
  <c r="K136" i="4"/>
  <c r="J136" i="4"/>
  <c r="I136" i="4"/>
  <c r="H136" i="4"/>
  <c r="K135" i="4"/>
  <c r="J135" i="4"/>
  <c r="I135" i="4"/>
  <c r="H135" i="4"/>
  <c r="G392" i="5"/>
  <c r="H392" i="5"/>
  <c r="I392" i="5"/>
  <c r="J392" i="5"/>
  <c r="K392" i="5"/>
  <c r="L392" i="5"/>
  <c r="M392" i="5"/>
  <c r="N392" i="5"/>
  <c r="O392" i="5"/>
  <c r="P392" i="5"/>
  <c r="Q392" i="5"/>
  <c r="R392" i="5"/>
  <c r="G383" i="5"/>
  <c r="H383" i="5"/>
  <c r="I383" i="5"/>
  <c r="J383" i="5"/>
  <c r="K383" i="5"/>
  <c r="L383" i="5"/>
  <c r="M383" i="5"/>
  <c r="N383" i="5"/>
  <c r="O383" i="5"/>
  <c r="P383" i="5"/>
  <c r="Q383" i="5"/>
  <c r="R383" i="5"/>
  <c r="G382" i="5"/>
  <c r="H382" i="5"/>
  <c r="I382" i="5"/>
  <c r="J382" i="5"/>
  <c r="K382" i="5"/>
  <c r="L382" i="5"/>
  <c r="M382" i="5"/>
  <c r="N382" i="5"/>
  <c r="O382" i="5"/>
  <c r="P382" i="5"/>
  <c r="Q382" i="5"/>
  <c r="R382" i="5"/>
  <c r="G381" i="5"/>
  <c r="H381" i="5"/>
  <c r="I381" i="5"/>
  <c r="J381" i="5"/>
  <c r="K381" i="5"/>
  <c r="L381" i="5"/>
  <c r="M381" i="5"/>
  <c r="N381" i="5"/>
  <c r="O381" i="5"/>
  <c r="P381" i="5"/>
  <c r="Q381" i="5"/>
  <c r="R381" i="5"/>
  <c r="G380" i="5"/>
  <c r="H380" i="5"/>
  <c r="I380" i="5"/>
  <c r="J380" i="5"/>
  <c r="K380" i="5"/>
  <c r="L380" i="5"/>
  <c r="M380" i="5"/>
  <c r="N380" i="5"/>
  <c r="O380" i="5"/>
  <c r="P380" i="5"/>
  <c r="Q380" i="5"/>
  <c r="R380" i="5"/>
  <c r="G371" i="5"/>
  <c r="H371" i="5"/>
  <c r="I371" i="5"/>
  <c r="J371" i="5"/>
  <c r="K371" i="5"/>
  <c r="L371" i="5"/>
  <c r="M371" i="5"/>
  <c r="N371" i="5"/>
  <c r="O371" i="5"/>
  <c r="P371" i="5"/>
  <c r="Q371" i="5"/>
  <c r="R371" i="5"/>
  <c r="G370" i="5"/>
  <c r="H370" i="5"/>
  <c r="I370" i="5"/>
  <c r="J370" i="5"/>
  <c r="K370" i="5"/>
  <c r="L370" i="5"/>
  <c r="M370" i="5"/>
  <c r="N370" i="5"/>
  <c r="O370" i="5"/>
  <c r="P370" i="5"/>
  <c r="Q370" i="5"/>
  <c r="R370" i="5"/>
  <c r="G369" i="5"/>
  <c r="H369" i="5"/>
  <c r="I369" i="5"/>
  <c r="J369" i="5"/>
  <c r="K369" i="5"/>
  <c r="L369" i="5"/>
  <c r="M369" i="5"/>
  <c r="N369" i="5"/>
  <c r="O369" i="5"/>
  <c r="P369" i="5"/>
  <c r="Q369" i="5"/>
  <c r="R369" i="5"/>
  <c r="G368" i="5"/>
  <c r="H368" i="5"/>
  <c r="I368" i="5"/>
  <c r="J368" i="5"/>
  <c r="K368" i="5"/>
  <c r="L368" i="5"/>
  <c r="M368" i="5"/>
  <c r="N368" i="5"/>
  <c r="O368" i="5"/>
  <c r="P368" i="5"/>
  <c r="Q368" i="5"/>
  <c r="R368" i="5"/>
  <c r="G367" i="5"/>
  <c r="H367" i="5"/>
  <c r="I367" i="5"/>
  <c r="J367" i="5"/>
  <c r="K367" i="5"/>
  <c r="L367" i="5"/>
  <c r="M367" i="5"/>
  <c r="N367" i="5"/>
  <c r="O367" i="5"/>
  <c r="P367" i="5"/>
  <c r="Q367" i="5"/>
  <c r="R367" i="5"/>
  <c r="G358" i="5"/>
  <c r="H358" i="5"/>
  <c r="I358" i="5"/>
  <c r="J358" i="5"/>
  <c r="K358" i="5"/>
  <c r="L358" i="5"/>
  <c r="M358" i="5"/>
  <c r="N358" i="5"/>
  <c r="O358" i="5"/>
  <c r="P358" i="5"/>
  <c r="Q358" i="5"/>
  <c r="R358" i="5"/>
  <c r="G357" i="5"/>
  <c r="H357" i="5"/>
  <c r="I357" i="5"/>
  <c r="J357" i="5"/>
  <c r="K357" i="5"/>
  <c r="L357" i="5"/>
  <c r="M357" i="5"/>
  <c r="N357" i="5"/>
  <c r="O357" i="5"/>
  <c r="P357" i="5"/>
  <c r="Q357" i="5"/>
  <c r="R357" i="5"/>
  <c r="G356" i="5"/>
  <c r="H356" i="5"/>
  <c r="I356" i="5"/>
  <c r="J356" i="5"/>
  <c r="K356" i="5"/>
  <c r="L356" i="5"/>
  <c r="M356" i="5"/>
  <c r="N356" i="5"/>
  <c r="O356" i="5"/>
  <c r="P356" i="5"/>
  <c r="Q356" i="5"/>
  <c r="R356" i="5"/>
  <c r="G355" i="5"/>
  <c r="H355" i="5"/>
  <c r="I355" i="5"/>
  <c r="J355" i="5"/>
  <c r="K355" i="5"/>
  <c r="L355" i="5"/>
  <c r="M355" i="5"/>
  <c r="N355" i="5"/>
  <c r="O355" i="5"/>
  <c r="P355" i="5"/>
  <c r="Q355" i="5"/>
  <c r="R355" i="5"/>
  <c r="G354" i="5"/>
  <c r="H354" i="5"/>
  <c r="I354" i="5"/>
  <c r="J354" i="5"/>
  <c r="K354" i="5"/>
  <c r="L354" i="5"/>
  <c r="M354" i="5"/>
  <c r="N354" i="5"/>
  <c r="O354" i="5"/>
  <c r="P354" i="5"/>
  <c r="Q354" i="5"/>
  <c r="R354" i="5"/>
  <c r="G353" i="5"/>
  <c r="H353" i="5"/>
  <c r="I353" i="5"/>
  <c r="J353" i="5"/>
  <c r="K353" i="5"/>
  <c r="L353" i="5"/>
  <c r="M353" i="5"/>
  <c r="N353" i="5"/>
  <c r="O353" i="5"/>
  <c r="P353" i="5"/>
  <c r="Q353" i="5"/>
  <c r="R353" i="5"/>
  <c r="G352" i="5"/>
  <c r="H352" i="5"/>
  <c r="I352" i="5"/>
  <c r="J352" i="5"/>
  <c r="K352" i="5"/>
  <c r="L352" i="5"/>
  <c r="M352" i="5"/>
  <c r="N352" i="5"/>
  <c r="O352" i="5"/>
  <c r="P352" i="5"/>
  <c r="Q352" i="5"/>
  <c r="R352" i="5"/>
  <c r="G351" i="5"/>
  <c r="H351" i="5"/>
  <c r="I351" i="5"/>
  <c r="J351" i="5"/>
  <c r="K351" i="5"/>
  <c r="L351" i="5"/>
  <c r="M351" i="5"/>
  <c r="N351" i="5"/>
  <c r="O351" i="5"/>
  <c r="P351" i="5"/>
  <c r="Q351" i="5"/>
  <c r="R351" i="5"/>
  <c r="G343" i="5"/>
  <c r="H343" i="5"/>
  <c r="I343" i="5"/>
  <c r="J343" i="5"/>
  <c r="K343" i="5"/>
  <c r="L343" i="5"/>
  <c r="M343" i="5"/>
  <c r="N343" i="5"/>
  <c r="O343" i="5"/>
  <c r="P343" i="5"/>
  <c r="Q343" i="5"/>
  <c r="R343" i="5"/>
  <c r="G342" i="5"/>
  <c r="H342" i="5"/>
  <c r="I342" i="5"/>
  <c r="J342" i="5"/>
  <c r="K342" i="5"/>
  <c r="L342" i="5"/>
  <c r="M342" i="5"/>
  <c r="N342" i="5"/>
  <c r="O342" i="5"/>
  <c r="P342" i="5"/>
  <c r="Q342" i="5"/>
  <c r="R342" i="5"/>
  <c r="G341" i="5"/>
  <c r="H341" i="5"/>
  <c r="I341" i="5"/>
  <c r="J341" i="5"/>
  <c r="K341" i="5"/>
  <c r="L341" i="5"/>
  <c r="M341" i="5"/>
  <c r="N341" i="5"/>
  <c r="O341" i="5"/>
  <c r="P341" i="5"/>
  <c r="Q341" i="5"/>
  <c r="R341" i="5"/>
  <c r="G340" i="5"/>
  <c r="H340" i="5"/>
  <c r="I340" i="5"/>
  <c r="J340" i="5"/>
  <c r="K340" i="5"/>
  <c r="L340" i="5"/>
  <c r="M340" i="5"/>
  <c r="N340" i="5"/>
  <c r="O340" i="5"/>
  <c r="P340" i="5"/>
  <c r="Q340" i="5"/>
  <c r="R340" i="5"/>
  <c r="G339" i="5"/>
  <c r="H339" i="5"/>
  <c r="I339" i="5"/>
  <c r="J339" i="5"/>
  <c r="K339" i="5"/>
  <c r="L339" i="5"/>
  <c r="M339" i="5"/>
  <c r="N339" i="5"/>
  <c r="O339" i="5"/>
  <c r="P339" i="5"/>
  <c r="Q339" i="5"/>
  <c r="R339" i="5"/>
  <c r="G338" i="5"/>
  <c r="H338" i="5"/>
  <c r="I338" i="5"/>
  <c r="J338" i="5"/>
  <c r="K338" i="5"/>
  <c r="L338" i="5"/>
  <c r="M338" i="5"/>
  <c r="N338" i="5"/>
  <c r="O338" i="5"/>
  <c r="P338" i="5"/>
  <c r="Q338" i="5"/>
  <c r="R338" i="5"/>
  <c r="G337" i="5"/>
  <c r="H337" i="5"/>
  <c r="I337" i="5"/>
  <c r="J337" i="5"/>
  <c r="K337" i="5"/>
  <c r="L337" i="5"/>
  <c r="M337" i="5"/>
  <c r="N337" i="5"/>
  <c r="O337" i="5"/>
  <c r="P337" i="5"/>
  <c r="Q337" i="5"/>
  <c r="R337" i="5"/>
  <c r="G336" i="5"/>
  <c r="H336" i="5"/>
  <c r="I336" i="5"/>
  <c r="J336" i="5"/>
  <c r="K336" i="5"/>
  <c r="L336" i="5"/>
  <c r="M336" i="5"/>
  <c r="N336" i="5"/>
  <c r="O336" i="5"/>
  <c r="P336" i="5"/>
  <c r="Q336" i="5"/>
  <c r="R336" i="5"/>
  <c r="G335" i="5"/>
  <c r="H335" i="5"/>
  <c r="I335" i="5"/>
  <c r="J335" i="5"/>
  <c r="K335" i="5"/>
  <c r="L335" i="5"/>
  <c r="M335" i="5"/>
  <c r="N335" i="5"/>
  <c r="O335" i="5"/>
  <c r="P335" i="5"/>
  <c r="Q335" i="5"/>
  <c r="R335" i="5"/>
  <c r="G334" i="5"/>
  <c r="H334" i="5"/>
  <c r="I334" i="5"/>
  <c r="J334" i="5"/>
  <c r="K334" i="5"/>
  <c r="L334" i="5"/>
  <c r="M334" i="5"/>
  <c r="N334" i="5"/>
  <c r="O334" i="5"/>
  <c r="P334" i="5"/>
  <c r="Q334" i="5"/>
  <c r="R334" i="5"/>
  <c r="G333" i="5"/>
  <c r="H333" i="5"/>
  <c r="I333" i="5"/>
  <c r="J333" i="5"/>
  <c r="K333" i="5"/>
  <c r="L333" i="5"/>
  <c r="M333" i="5"/>
  <c r="N333" i="5"/>
  <c r="O333" i="5"/>
  <c r="P333" i="5"/>
  <c r="Q333" i="5"/>
  <c r="R333" i="5"/>
  <c r="G332" i="5"/>
  <c r="H332" i="5"/>
  <c r="I332" i="5"/>
  <c r="J332" i="5"/>
  <c r="K332" i="5"/>
  <c r="L332" i="5"/>
  <c r="M332" i="5"/>
  <c r="N332" i="5"/>
  <c r="O332" i="5"/>
  <c r="P332" i="5"/>
  <c r="Q332" i="5"/>
  <c r="R332" i="5"/>
  <c r="G331" i="5"/>
  <c r="H331" i="5"/>
  <c r="I331" i="5"/>
  <c r="J331" i="5"/>
  <c r="K331" i="5"/>
  <c r="L331" i="5"/>
  <c r="M331" i="5"/>
  <c r="N331" i="5"/>
  <c r="O331" i="5"/>
  <c r="P331" i="5"/>
  <c r="Q331" i="5"/>
  <c r="R331" i="5"/>
  <c r="G329" i="5"/>
  <c r="H329" i="5"/>
  <c r="I329" i="5"/>
  <c r="J329" i="5"/>
  <c r="K329" i="5"/>
  <c r="L329" i="5"/>
  <c r="M329" i="5"/>
  <c r="N329" i="5"/>
  <c r="O329" i="5"/>
  <c r="P329" i="5"/>
  <c r="Q329" i="5"/>
  <c r="R329" i="5"/>
  <c r="G328" i="5"/>
  <c r="H328" i="5"/>
  <c r="I328" i="5"/>
  <c r="J328" i="5"/>
  <c r="K328" i="5"/>
  <c r="L328" i="5"/>
  <c r="M328" i="5"/>
  <c r="N328" i="5"/>
  <c r="O328" i="5"/>
  <c r="P328" i="5"/>
  <c r="Q328" i="5"/>
  <c r="R328" i="5"/>
  <c r="G318" i="5"/>
  <c r="H318" i="5"/>
  <c r="I318" i="5"/>
  <c r="J318" i="5"/>
  <c r="K318" i="5"/>
  <c r="L318" i="5"/>
  <c r="M318" i="5"/>
  <c r="N318" i="5"/>
  <c r="O318" i="5"/>
  <c r="P318" i="5"/>
  <c r="Q318" i="5"/>
  <c r="R318" i="5"/>
  <c r="G317" i="5"/>
  <c r="H317" i="5"/>
  <c r="I317" i="5"/>
  <c r="J317" i="5"/>
  <c r="K317" i="5"/>
  <c r="L317" i="5"/>
  <c r="M317" i="5"/>
  <c r="N317" i="5"/>
  <c r="O317" i="5"/>
  <c r="P317" i="5"/>
  <c r="Q317" i="5"/>
  <c r="R317" i="5"/>
  <c r="G316" i="5"/>
  <c r="H316" i="5"/>
  <c r="I316" i="5"/>
  <c r="J316" i="5"/>
  <c r="K316" i="5"/>
  <c r="L316" i="5"/>
  <c r="M316" i="5"/>
  <c r="N316" i="5"/>
  <c r="O316" i="5"/>
  <c r="P316" i="5"/>
  <c r="Q316" i="5"/>
  <c r="R316" i="5"/>
  <c r="G315" i="5"/>
  <c r="H315" i="5"/>
  <c r="I315" i="5"/>
  <c r="J315" i="5"/>
  <c r="K315" i="5"/>
  <c r="L315" i="5"/>
  <c r="M315" i="5"/>
  <c r="N315" i="5"/>
  <c r="O315" i="5"/>
  <c r="P315" i="5"/>
  <c r="Q315" i="5"/>
  <c r="R315" i="5"/>
  <c r="G314" i="5"/>
  <c r="H314" i="5"/>
  <c r="I314" i="5"/>
  <c r="J314" i="5"/>
  <c r="K314" i="5"/>
  <c r="L314" i="5"/>
  <c r="M314" i="5"/>
  <c r="N314" i="5"/>
  <c r="O314" i="5"/>
  <c r="P314" i="5"/>
  <c r="Q314" i="5"/>
  <c r="R314" i="5"/>
  <c r="G313" i="5"/>
  <c r="H313" i="5"/>
  <c r="I313" i="5"/>
  <c r="J313" i="5"/>
  <c r="K313" i="5"/>
  <c r="L313" i="5"/>
  <c r="M313" i="5"/>
  <c r="N313" i="5"/>
  <c r="O313" i="5"/>
  <c r="P313" i="5"/>
  <c r="Q313" i="5"/>
  <c r="R313" i="5"/>
  <c r="G312" i="5"/>
  <c r="H312" i="5"/>
  <c r="I312" i="5"/>
  <c r="J312" i="5"/>
  <c r="K312" i="5"/>
  <c r="L312" i="5"/>
  <c r="M312" i="5"/>
  <c r="N312" i="5"/>
  <c r="O312" i="5"/>
  <c r="P312" i="5"/>
  <c r="Q312" i="5"/>
  <c r="R312" i="5"/>
  <c r="G311" i="5"/>
  <c r="H311" i="5"/>
  <c r="I311" i="5"/>
  <c r="J311" i="5"/>
  <c r="K311" i="5"/>
  <c r="L311" i="5"/>
  <c r="M311" i="5"/>
  <c r="N311" i="5"/>
  <c r="O311" i="5"/>
  <c r="P311" i="5"/>
  <c r="Q311" i="5"/>
  <c r="R311" i="5"/>
  <c r="G313" i="10"/>
  <c r="G310" i="5"/>
  <c r="H310" i="5"/>
  <c r="I310" i="5"/>
  <c r="J310" i="5"/>
  <c r="K310" i="5"/>
  <c r="L310" i="5"/>
  <c r="M310" i="5"/>
  <c r="N310" i="5"/>
  <c r="O310" i="5"/>
  <c r="P310" i="5"/>
  <c r="Q310" i="5"/>
  <c r="R310" i="5"/>
  <c r="D61" i="15"/>
  <c r="G49" i="10"/>
  <c r="D59" i="15"/>
  <c r="G53" i="10"/>
  <c r="D60" i="15"/>
  <c r="G57" i="10"/>
  <c r="G61" i="10"/>
  <c r="G309" i="5"/>
  <c r="H309" i="5"/>
  <c r="I309" i="5"/>
  <c r="J309" i="5"/>
  <c r="K309" i="5"/>
  <c r="L309" i="5"/>
  <c r="M309" i="5"/>
  <c r="N309" i="5"/>
  <c r="O309" i="5"/>
  <c r="P309" i="5"/>
  <c r="Q309" i="5"/>
  <c r="R309" i="5"/>
  <c r="G301" i="5"/>
  <c r="H301" i="5"/>
  <c r="I301" i="5"/>
  <c r="J301" i="5"/>
  <c r="K301" i="5"/>
  <c r="L301" i="5"/>
  <c r="M301" i="5"/>
  <c r="N301" i="5"/>
  <c r="O301" i="5"/>
  <c r="P301" i="5"/>
  <c r="Q301" i="5"/>
  <c r="R301" i="5"/>
  <c r="G300" i="5"/>
  <c r="H300" i="5"/>
  <c r="I300" i="5"/>
  <c r="J300" i="5"/>
  <c r="K300" i="5"/>
  <c r="L300" i="5"/>
  <c r="M300" i="5"/>
  <c r="N300" i="5"/>
  <c r="O300" i="5"/>
  <c r="P300" i="5"/>
  <c r="Q300" i="5"/>
  <c r="R300" i="5"/>
  <c r="G299" i="5"/>
  <c r="H299" i="5"/>
  <c r="I299" i="5"/>
  <c r="J299" i="5"/>
  <c r="K299" i="5"/>
  <c r="L299" i="5"/>
  <c r="M299" i="5"/>
  <c r="N299" i="5"/>
  <c r="O299" i="5"/>
  <c r="P299" i="5"/>
  <c r="Q299" i="5"/>
  <c r="R299" i="5"/>
  <c r="G298" i="5"/>
  <c r="H298" i="5"/>
  <c r="I298" i="5"/>
  <c r="J298" i="5"/>
  <c r="K298" i="5"/>
  <c r="L298" i="5"/>
  <c r="M298" i="5"/>
  <c r="N298" i="5"/>
  <c r="O298" i="5"/>
  <c r="P298" i="5"/>
  <c r="Q298" i="5"/>
  <c r="R298" i="5"/>
  <c r="G297" i="5"/>
  <c r="H297" i="5"/>
  <c r="I297" i="5"/>
  <c r="J297" i="5"/>
  <c r="K297" i="5"/>
  <c r="L297" i="5"/>
  <c r="M297" i="5"/>
  <c r="N297" i="5"/>
  <c r="O297" i="5"/>
  <c r="P297" i="5"/>
  <c r="Q297" i="5"/>
  <c r="R297" i="5"/>
  <c r="G296" i="5"/>
  <c r="H296" i="5"/>
  <c r="I296" i="5"/>
  <c r="J296" i="5"/>
  <c r="K296" i="5"/>
  <c r="L296" i="5"/>
  <c r="M296" i="5"/>
  <c r="N296" i="5"/>
  <c r="O296" i="5"/>
  <c r="P296" i="5"/>
  <c r="Q296" i="5"/>
  <c r="R296" i="5"/>
  <c r="G295" i="5"/>
  <c r="H295" i="5"/>
  <c r="I295" i="5"/>
  <c r="J295" i="5"/>
  <c r="K295" i="5"/>
  <c r="L295" i="5"/>
  <c r="M295" i="5"/>
  <c r="N295" i="5"/>
  <c r="O295" i="5"/>
  <c r="P295" i="5"/>
  <c r="Q295" i="5"/>
  <c r="R295" i="5"/>
  <c r="G294" i="5"/>
  <c r="H294" i="5"/>
  <c r="I294" i="5"/>
  <c r="J294" i="5"/>
  <c r="K294" i="5"/>
  <c r="L294" i="5"/>
  <c r="M294" i="5"/>
  <c r="N294" i="5"/>
  <c r="O294" i="5"/>
  <c r="P294" i="5"/>
  <c r="Q294" i="5"/>
  <c r="R294" i="5"/>
  <c r="G293" i="5"/>
  <c r="H293" i="5"/>
  <c r="I293" i="5"/>
  <c r="J293" i="5"/>
  <c r="K293" i="5"/>
  <c r="L293" i="5"/>
  <c r="M293" i="5"/>
  <c r="N293" i="5"/>
  <c r="O293" i="5"/>
  <c r="P293" i="5"/>
  <c r="Q293" i="5"/>
  <c r="R293" i="5"/>
  <c r="G292" i="5"/>
  <c r="H292" i="5"/>
  <c r="I292" i="5"/>
  <c r="J292" i="5"/>
  <c r="K292" i="5"/>
  <c r="L292" i="5"/>
  <c r="M292" i="5"/>
  <c r="N292" i="5"/>
  <c r="O292" i="5"/>
  <c r="P292" i="5"/>
  <c r="Q292" i="5"/>
  <c r="R292" i="5"/>
  <c r="G291" i="5"/>
  <c r="H291" i="5"/>
  <c r="I291" i="5"/>
  <c r="J291" i="5"/>
  <c r="K291" i="5"/>
  <c r="L291" i="5"/>
  <c r="M291" i="5"/>
  <c r="N291" i="5"/>
  <c r="O291" i="5"/>
  <c r="P291" i="5"/>
  <c r="Q291" i="5"/>
  <c r="R291" i="5"/>
  <c r="G290" i="5"/>
  <c r="H290" i="5"/>
  <c r="I290" i="5"/>
  <c r="J290" i="5"/>
  <c r="K290" i="5"/>
  <c r="L290" i="5"/>
  <c r="M290" i="5"/>
  <c r="N290" i="5"/>
  <c r="O290" i="5"/>
  <c r="P290" i="5"/>
  <c r="Q290" i="5"/>
  <c r="R290" i="5"/>
  <c r="G289" i="5"/>
  <c r="H289" i="5"/>
  <c r="I289" i="5"/>
  <c r="J289" i="5"/>
  <c r="K289" i="5"/>
  <c r="L289" i="5"/>
  <c r="M289" i="5"/>
  <c r="N289" i="5"/>
  <c r="O289" i="5"/>
  <c r="P289" i="5"/>
  <c r="Q289" i="5"/>
  <c r="R289" i="5"/>
  <c r="G288" i="5"/>
  <c r="H288" i="5"/>
  <c r="I288" i="5"/>
  <c r="J288" i="5"/>
  <c r="K288" i="5"/>
  <c r="L288" i="5"/>
  <c r="M288" i="5"/>
  <c r="N288" i="5"/>
  <c r="O288" i="5"/>
  <c r="P288" i="5"/>
  <c r="Q288" i="5"/>
  <c r="R288" i="5"/>
  <c r="G282" i="10"/>
  <c r="G279" i="5"/>
  <c r="H279" i="5"/>
  <c r="I279" i="5"/>
  <c r="J279" i="5"/>
  <c r="K279" i="5"/>
  <c r="L279" i="5"/>
  <c r="M279" i="5"/>
  <c r="N279" i="5"/>
  <c r="O279" i="5"/>
  <c r="P279" i="5"/>
  <c r="Q279" i="5"/>
  <c r="R279" i="5"/>
  <c r="G281" i="10"/>
  <c r="G278" i="5"/>
  <c r="H278" i="5"/>
  <c r="I278" i="5"/>
  <c r="J278" i="5"/>
  <c r="K278" i="5"/>
  <c r="L278" i="5"/>
  <c r="M278" i="5"/>
  <c r="N278" i="5"/>
  <c r="O278" i="5"/>
  <c r="P278" i="5"/>
  <c r="Q278" i="5"/>
  <c r="R278" i="5"/>
  <c r="G280" i="10"/>
  <c r="G277" i="5"/>
  <c r="H277" i="5"/>
  <c r="I277" i="5"/>
  <c r="J277" i="5"/>
  <c r="K277" i="5"/>
  <c r="L277" i="5"/>
  <c r="M277" i="5"/>
  <c r="N277" i="5"/>
  <c r="O277" i="5"/>
  <c r="P277" i="5"/>
  <c r="Q277" i="5"/>
  <c r="R277" i="5"/>
  <c r="G279" i="10"/>
  <c r="G276" i="5"/>
  <c r="H276" i="5"/>
  <c r="I276" i="5"/>
  <c r="J276" i="5"/>
  <c r="K276" i="5"/>
  <c r="L276" i="5"/>
  <c r="M276" i="5"/>
  <c r="N276" i="5"/>
  <c r="O276" i="5"/>
  <c r="P276" i="5"/>
  <c r="Q276" i="5"/>
  <c r="R276" i="5"/>
  <c r="G278" i="10"/>
  <c r="G275" i="5"/>
  <c r="H275" i="5"/>
  <c r="I275" i="5"/>
  <c r="J275" i="5"/>
  <c r="K275" i="5"/>
  <c r="L275" i="5"/>
  <c r="M275" i="5"/>
  <c r="N275" i="5"/>
  <c r="O275" i="5"/>
  <c r="P275" i="5"/>
  <c r="Q275" i="5"/>
  <c r="R275" i="5"/>
  <c r="G274" i="5"/>
  <c r="H274" i="5"/>
  <c r="I274" i="5"/>
  <c r="J274" i="5"/>
  <c r="K274" i="5"/>
  <c r="L274" i="5"/>
  <c r="M274" i="5"/>
  <c r="N274" i="5"/>
  <c r="O274" i="5"/>
  <c r="P274" i="5"/>
  <c r="Q274" i="5"/>
  <c r="R274" i="5"/>
  <c r="G273" i="5"/>
  <c r="H273" i="5"/>
  <c r="I273" i="5"/>
  <c r="J273" i="5"/>
  <c r="K273" i="5"/>
  <c r="L273" i="5"/>
  <c r="M273" i="5"/>
  <c r="N273" i="5"/>
  <c r="O273" i="5"/>
  <c r="P273" i="5"/>
  <c r="Q273" i="5"/>
  <c r="R273" i="5"/>
  <c r="G272" i="5"/>
  <c r="H272" i="5"/>
  <c r="I272" i="5"/>
  <c r="J272" i="5"/>
  <c r="K272" i="5"/>
  <c r="L272" i="5"/>
  <c r="M272" i="5"/>
  <c r="N272" i="5"/>
  <c r="O272" i="5"/>
  <c r="P272" i="5"/>
  <c r="Q272" i="5"/>
  <c r="R272" i="5"/>
  <c r="G271" i="5"/>
  <c r="H271" i="5"/>
  <c r="I271" i="5"/>
  <c r="J271" i="5"/>
  <c r="K271" i="5"/>
  <c r="L271" i="5"/>
  <c r="M271" i="5"/>
  <c r="N271" i="5"/>
  <c r="O271" i="5"/>
  <c r="P271" i="5"/>
  <c r="Q271" i="5"/>
  <c r="R271" i="5"/>
  <c r="G270" i="5"/>
  <c r="H270" i="5"/>
  <c r="I270" i="5"/>
  <c r="J270" i="5"/>
  <c r="K270" i="5"/>
  <c r="L270" i="5"/>
  <c r="M270" i="5"/>
  <c r="N270" i="5"/>
  <c r="O270" i="5"/>
  <c r="P270" i="5"/>
  <c r="Q270" i="5"/>
  <c r="R270" i="5"/>
  <c r="I269" i="5"/>
  <c r="J269" i="5"/>
  <c r="K269" i="5"/>
  <c r="L269" i="5"/>
  <c r="M269" i="5"/>
  <c r="N269" i="5"/>
  <c r="O269" i="5"/>
  <c r="P269" i="5"/>
  <c r="Q269" i="5"/>
  <c r="R269" i="5"/>
  <c r="G271" i="10"/>
  <c r="G268" i="5"/>
  <c r="H268" i="5"/>
  <c r="I268" i="5"/>
  <c r="J268" i="5"/>
  <c r="K268" i="5"/>
  <c r="L268" i="5"/>
  <c r="M268" i="5"/>
  <c r="N268" i="5"/>
  <c r="O268" i="5"/>
  <c r="P268" i="5"/>
  <c r="Q268" i="5"/>
  <c r="R268" i="5"/>
  <c r="I267" i="5"/>
  <c r="J267" i="5"/>
  <c r="K267" i="5"/>
  <c r="L267" i="5"/>
  <c r="M267" i="5"/>
  <c r="N267" i="5"/>
  <c r="O267" i="5"/>
  <c r="P267" i="5"/>
  <c r="Q267" i="5"/>
  <c r="R267" i="5"/>
  <c r="I266" i="5"/>
  <c r="J266" i="5"/>
  <c r="K266" i="5"/>
  <c r="L266" i="5"/>
  <c r="M266" i="5"/>
  <c r="N266" i="5"/>
  <c r="O266" i="5"/>
  <c r="P266" i="5"/>
  <c r="Q266" i="5"/>
  <c r="R266" i="5"/>
  <c r="I265" i="5"/>
  <c r="J265" i="5"/>
  <c r="K265" i="5"/>
  <c r="L265" i="5"/>
  <c r="M265" i="5"/>
  <c r="N265" i="5"/>
  <c r="O265" i="5"/>
  <c r="P265" i="5"/>
  <c r="Q265" i="5"/>
  <c r="R265" i="5"/>
  <c r="G264" i="5"/>
  <c r="H264" i="5"/>
  <c r="I264" i="5"/>
  <c r="J264" i="5"/>
  <c r="K264" i="5"/>
  <c r="L264" i="5"/>
  <c r="M264" i="5"/>
  <c r="N264" i="5"/>
  <c r="O264" i="5"/>
  <c r="P264" i="5"/>
  <c r="Q264" i="5"/>
  <c r="R264" i="5"/>
  <c r="G263" i="5"/>
  <c r="H263" i="5"/>
  <c r="I263" i="5"/>
  <c r="J263" i="5"/>
  <c r="K263" i="5"/>
  <c r="L263" i="5"/>
  <c r="M263" i="5"/>
  <c r="N263" i="5"/>
  <c r="O263" i="5"/>
  <c r="P263" i="5"/>
  <c r="Q263" i="5"/>
  <c r="R263" i="5"/>
  <c r="G261" i="5"/>
  <c r="H261" i="5"/>
  <c r="I261" i="5"/>
  <c r="J261" i="5"/>
  <c r="K261" i="5"/>
  <c r="L261" i="5"/>
  <c r="M261" i="5"/>
  <c r="N261" i="5"/>
  <c r="O261" i="5"/>
  <c r="P261" i="5"/>
  <c r="Q261" i="5"/>
  <c r="R261" i="5"/>
  <c r="G260" i="5"/>
  <c r="H260" i="5"/>
  <c r="I260" i="5"/>
  <c r="J260" i="5"/>
  <c r="K260" i="5"/>
  <c r="L260" i="5"/>
  <c r="M260" i="5"/>
  <c r="N260" i="5"/>
  <c r="O260" i="5"/>
  <c r="P260" i="5"/>
  <c r="Q260" i="5"/>
  <c r="R260" i="5"/>
  <c r="G259" i="5"/>
  <c r="H259" i="5"/>
  <c r="I259" i="5"/>
  <c r="J259" i="5"/>
  <c r="K259" i="5"/>
  <c r="L259" i="5"/>
  <c r="M259" i="5"/>
  <c r="N259" i="5"/>
  <c r="O259" i="5"/>
  <c r="P259" i="5"/>
  <c r="Q259" i="5"/>
  <c r="R259" i="5"/>
  <c r="G258" i="5"/>
  <c r="H258" i="5"/>
  <c r="I258" i="5"/>
  <c r="J258" i="5"/>
  <c r="K258" i="5"/>
  <c r="L258" i="5"/>
  <c r="M258" i="5"/>
  <c r="N258" i="5"/>
  <c r="O258" i="5"/>
  <c r="P258" i="5"/>
  <c r="Q258" i="5"/>
  <c r="R258" i="5"/>
  <c r="G257" i="5"/>
  <c r="H257" i="5"/>
  <c r="I257" i="5"/>
  <c r="J257" i="5"/>
  <c r="K257" i="5"/>
  <c r="L257" i="5"/>
  <c r="M257" i="5"/>
  <c r="N257" i="5"/>
  <c r="O257" i="5"/>
  <c r="P257" i="5"/>
  <c r="Q257" i="5"/>
  <c r="R257" i="5"/>
  <c r="G256" i="5"/>
  <c r="H256" i="5"/>
  <c r="I256" i="5"/>
  <c r="J256" i="5"/>
  <c r="K256" i="5"/>
  <c r="L256" i="5"/>
  <c r="M256" i="5"/>
  <c r="N256" i="5"/>
  <c r="O256" i="5"/>
  <c r="P256" i="5"/>
  <c r="Q256" i="5"/>
  <c r="R256" i="5"/>
  <c r="G255" i="5"/>
  <c r="H255" i="5"/>
  <c r="I255" i="5"/>
  <c r="J255" i="5"/>
  <c r="K255" i="5"/>
  <c r="L255" i="5"/>
  <c r="M255" i="5"/>
  <c r="N255" i="5"/>
  <c r="O255" i="5"/>
  <c r="P255" i="5"/>
  <c r="Q255" i="5"/>
  <c r="R255" i="5"/>
  <c r="G254" i="5"/>
  <c r="H254" i="5"/>
  <c r="I254" i="5"/>
  <c r="J254" i="5"/>
  <c r="K254" i="5"/>
  <c r="L254" i="5"/>
  <c r="M254" i="5"/>
  <c r="N254" i="5"/>
  <c r="O254" i="5"/>
  <c r="P254" i="5"/>
  <c r="Q254" i="5"/>
  <c r="R254" i="5"/>
  <c r="G251" i="10"/>
  <c r="G248" i="5"/>
  <c r="H248" i="5"/>
  <c r="I248" i="5"/>
  <c r="J248" i="5"/>
  <c r="K248" i="5"/>
  <c r="L248" i="5"/>
  <c r="M248" i="5"/>
  <c r="N248" i="5"/>
  <c r="O248" i="5"/>
  <c r="P248" i="5"/>
  <c r="Q248" i="5"/>
  <c r="R248" i="5"/>
  <c r="G250" i="10"/>
  <c r="G247" i="5"/>
  <c r="H247" i="5"/>
  <c r="I247" i="5"/>
  <c r="J247" i="5"/>
  <c r="K247" i="5"/>
  <c r="L247" i="5"/>
  <c r="M247" i="5"/>
  <c r="N247" i="5"/>
  <c r="O247" i="5"/>
  <c r="P247" i="5"/>
  <c r="Q247" i="5"/>
  <c r="R247" i="5"/>
  <c r="G246" i="5"/>
  <c r="H246" i="5"/>
  <c r="I246" i="5"/>
  <c r="J246" i="5"/>
  <c r="K246" i="5"/>
  <c r="L246" i="5"/>
  <c r="M246" i="5"/>
  <c r="N246" i="5"/>
  <c r="O246" i="5"/>
  <c r="P246" i="5"/>
  <c r="Q246" i="5"/>
  <c r="R246" i="5"/>
  <c r="G248" i="10"/>
  <c r="G245" i="5"/>
  <c r="H245" i="5"/>
  <c r="I245" i="5"/>
  <c r="J245" i="5"/>
  <c r="K245" i="5"/>
  <c r="L245" i="5"/>
  <c r="M245" i="5"/>
  <c r="N245" i="5"/>
  <c r="O245" i="5"/>
  <c r="P245" i="5"/>
  <c r="Q245" i="5"/>
  <c r="R245" i="5"/>
  <c r="G244" i="5"/>
  <c r="H244" i="5"/>
  <c r="I244" i="5"/>
  <c r="J244" i="5"/>
  <c r="K244" i="5"/>
  <c r="L244" i="5"/>
  <c r="M244" i="5"/>
  <c r="N244" i="5"/>
  <c r="O244" i="5"/>
  <c r="P244" i="5"/>
  <c r="Q244" i="5"/>
  <c r="R244" i="5"/>
  <c r="G246" i="10"/>
  <c r="G243" i="5"/>
  <c r="H243" i="5"/>
  <c r="I243" i="5"/>
  <c r="J243" i="5"/>
  <c r="K243" i="5"/>
  <c r="L243" i="5"/>
  <c r="M243" i="5"/>
  <c r="N243" i="5"/>
  <c r="O243" i="5"/>
  <c r="P243" i="5"/>
  <c r="Q243" i="5"/>
  <c r="R243" i="5"/>
  <c r="G242" i="5"/>
  <c r="H242" i="5"/>
  <c r="I242" i="5"/>
  <c r="J242" i="5"/>
  <c r="K242" i="5"/>
  <c r="L242" i="5"/>
  <c r="M242" i="5"/>
  <c r="N242" i="5"/>
  <c r="O242" i="5"/>
  <c r="P242" i="5"/>
  <c r="Q242" i="5"/>
  <c r="R242" i="5"/>
  <c r="G241" i="5"/>
  <c r="H241" i="5"/>
  <c r="I241" i="5"/>
  <c r="J241" i="5"/>
  <c r="K241" i="5"/>
  <c r="L241" i="5"/>
  <c r="M241" i="5"/>
  <c r="N241" i="5"/>
  <c r="O241" i="5"/>
  <c r="P241" i="5"/>
  <c r="Q241" i="5"/>
  <c r="R241" i="5"/>
  <c r="G240" i="5"/>
  <c r="H240" i="5"/>
  <c r="I240" i="5"/>
  <c r="J240" i="5"/>
  <c r="K240" i="5"/>
  <c r="L240" i="5"/>
  <c r="M240" i="5"/>
  <c r="N240" i="5"/>
  <c r="O240" i="5"/>
  <c r="P240" i="5"/>
  <c r="Q240" i="5"/>
  <c r="R240" i="5"/>
  <c r="G239" i="5"/>
  <c r="H239" i="5"/>
  <c r="I239" i="5"/>
  <c r="J239" i="5"/>
  <c r="K239" i="5"/>
  <c r="L239" i="5"/>
  <c r="M239" i="5"/>
  <c r="N239" i="5"/>
  <c r="O239" i="5"/>
  <c r="P239" i="5"/>
  <c r="Q239" i="5"/>
  <c r="R239" i="5"/>
  <c r="G238" i="5"/>
  <c r="H238" i="5"/>
  <c r="I238" i="5"/>
  <c r="J238" i="5"/>
  <c r="K238" i="5"/>
  <c r="L238" i="5"/>
  <c r="M238" i="5"/>
  <c r="N238" i="5"/>
  <c r="O238" i="5"/>
  <c r="P238" i="5"/>
  <c r="Q238" i="5"/>
  <c r="R238" i="5"/>
  <c r="G237" i="5"/>
  <c r="H237" i="5"/>
  <c r="I237" i="5"/>
  <c r="J237" i="5"/>
  <c r="K237" i="5"/>
  <c r="L237" i="5"/>
  <c r="M237" i="5"/>
  <c r="N237" i="5"/>
  <c r="O237" i="5"/>
  <c r="P237" i="5"/>
  <c r="Q237" i="5"/>
  <c r="R237" i="5"/>
  <c r="G236" i="5"/>
  <c r="H236" i="5"/>
  <c r="I236" i="5"/>
  <c r="J236" i="5"/>
  <c r="K236" i="5"/>
  <c r="L236" i="5"/>
  <c r="M236" i="5"/>
  <c r="N236" i="5"/>
  <c r="O236" i="5"/>
  <c r="P236" i="5"/>
  <c r="Q236" i="5"/>
  <c r="R236" i="5"/>
  <c r="G235" i="5"/>
  <c r="H235" i="5"/>
  <c r="I235" i="5"/>
  <c r="J235" i="5"/>
  <c r="K235" i="5"/>
  <c r="L235" i="5"/>
  <c r="M235" i="5"/>
  <c r="N235" i="5"/>
  <c r="O235" i="5"/>
  <c r="P235" i="5"/>
  <c r="Q235" i="5"/>
  <c r="R235" i="5"/>
  <c r="G234" i="5"/>
  <c r="H234" i="5"/>
  <c r="I234" i="5"/>
  <c r="J234" i="5"/>
  <c r="K234" i="5"/>
  <c r="L234" i="5"/>
  <c r="M234" i="5"/>
  <c r="N234" i="5"/>
  <c r="O234" i="5"/>
  <c r="P234" i="5"/>
  <c r="Q234" i="5"/>
  <c r="R234" i="5"/>
  <c r="G233" i="5"/>
  <c r="H233" i="5"/>
  <c r="I233" i="5"/>
  <c r="J233" i="5"/>
  <c r="K233" i="5"/>
  <c r="L233" i="5"/>
  <c r="M233" i="5"/>
  <c r="N233" i="5"/>
  <c r="O233" i="5"/>
  <c r="P233" i="5"/>
  <c r="Q233" i="5"/>
  <c r="R233" i="5"/>
  <c r="G232" i="5"/>
  <c r="H232" i="5"/>
  <c r="I232" i="5"/>
  <c r="J232" i="5"/>
  <c r="K232" i="5"/>
  <c r="L232" i="5"/>
  <c r="M232" i="5"/>
  <c r="N232" i="5"/>
  <c r="O232" i="5"/>
  <c r="P232" i="5"/>
  <c r="Q232" i="5"/>
  <c r="R232" i="5"/>
  <c r="G231" i="5"/>
  <c r="H231" i="5"/>
  <c r="I231" i="5"/>
  <c r="J231" i="5"/>
  <c r="K231" i="5"/>
  <c r="L231" i="5"/>
  <c r="M231" i="5"/>
  <c r="N231" i="5"/>
  <c r="O231" i="5"/>
  <c r="P231" i="5"/>
  <c r="Q231" i="5"/>
  <c r="R231" i="5"/>
  <c r="G225" i="10"/>
  <c r="G222" i="5"/>
  <c r="H222" i="5"/>
  <c r="I222" i="5"/>
  <c r="J222" i="5"/>
  <c r="K222" i="5"/>
  <c r="L222" i="5"/>
  <c r="M222" i="5"/>
  <c r="N222" i="5"/>
  <c r="O222" i="5"/>
  <c r="P222" i="5"/>
  <c r="Q222" i="5"/>
  <c r="R222" i="5"/>
  <c r="G224" i="10"/>
  <c r="G221" i="5"/>
  <c r="H221" i="5"/>
  <c r="I221" i="5"/>
  <c r="J221" i="5"/>
  <c r="K221" i="5"/>
  <c r="L221" i="5"/>
  <c r="M221" i="5"/>
  <c r="N221" i="5"/>
  <c r="O221" i="5"/>
  <c r="P221" i="5"/>
  <c r="Q221" i="5"/>
  <c r="R221" i="5"/>
  <c r="G220" i="5"/>
  <c r="H220" i="5"/>
  <c r="I220" i="5"/>
  <c r="J220" i="5"/>
  <c r="K220" i="5"/>
  <c r="L220" i="5"/>
  <c r="M220" i="5"/>
  <c r="N220" i="5"/>
  <c r="O220" i="5"/>
  <c r="P220" i="5"/>
  <c r="Q220" i="5"/>
  <c r="R220" i="5"/>
  <c r="G222" i="10"/>
  <c r="G219" i="5"/>
  <c r="H219" i="5"/>
  <c r="I219" i="5"/>
  <c r="J219" i="5"/>
  <c r="K219" i="5"/>
  <c r="L219" i="5"/>
  <c r="M219" i="5"/>
  <c r="N219" i="5"/>
  <c r="O219" i="5"/>
  <c r="P219" i="5"/>
  <c r="Q219" i="5"/>
  <c r="R219" i="5"/>
  <c r="G218" i="5"/>
  <c r="H218" i="5"/>
  <c r="I218" i="5"/>
  <c r="J218" i="5"/>
  <c r="K218" i="5"/>
  <c r="L218" i="5"/>
  <c r="M218" i="5"/>
  <c r="N218" i="5"/>
  <c r="O218" i="5"/>
  <c r="P218" i="5"/>
  <c r="Q218" i="5"/>
  <c r="R218" i="5"/>
  <c r="G220" i="10"/>
  <c r="G217" i="5"/>
  <c r="H217" i="5"/>
  <c r="I217" i="5"/>
  <c r="J217" i="5"/>
  <c r="K217" i="5"/>
  <c r="L217" i="5"/>
  <c r="M217" i="5"/>
  <c r="N217" i="5"/>
  <c r="O217" i="5"/>
  <c r="P217" i="5"/>
  <c r="Q217" i="5"/>
  <c r="R217" i="5"/>
  <c r="G216" i="5"/>
  <c r="H216" i="5"/>
  <c r="I216" i="5"/>
  <c r="J216" i="5"/>
  <c r="K216" i="5"/>
  <c r="L216" i="5"/>
  <c r="M216" i="5"/>
  <c r="N216" i="5"/>
  <c r="O216" i="5"/>
  <c r="P216" i="5"/>
  <c r="Q216" i="5"/>
  <c r="R216" i="5"/>
  <c r="G215" i="5"/>
  <c r="H215" i="5"/>
  <c r="I215" i="5"/>
  <c r="J215" i="5"/>
  <c r="K215" i="5"/>
  <c r="L215" i="5"/>
  <c r="M215" i="5"/>
  <c r="N215" i="5"/>
  <c r="O215" i="5"/>
  <c r="P215" i="5"/>
  <c r="Q215" i="5"/>
  <c r="R215" i="5"/>
  <c r="G214" i="5"/>
  <c r="H214" i="5"/>
  <c r="I214" i="5"/>
  <c r="J214" i="5"/>
  <c r="K214" i="5"/>
  <c r="L214" i="5"/>
  <c r="M214" i="5"/>
  <c r="N214" i="5"/>
  <c r="O214" i="5"/>
  <c r="P214" i="5"/>
  <c r="Q214" i="5"/>
  <c r="R214" i="5"/>
  <c r="G213" i="5"/>
  <c r="H213" i="5"/>
  <c r="I213" i="5"/>
  <c r="J213" i="5"/>
  <c r="K213" i="5"/>
  <c r="L213" i="5"/>
  <c r="M213" i="5"/>
  <c r="N213" i="5"/>
  <c r="O213" i="5"/>
  <c r="P213" i="5"/>
  <c r="Q213" i="5"/>
  <c r="R213" i="5"/>
  <c r="H212" i="5"/>
  <c r="I212" i="5"/>
  <c r="J212" i="5"/>
  <c r="K212" i="5"/>
  <c r="L212" i="5"/>
  <c r="M212" i="5"/>
  <c r="N212" i="5"/>
  <c r="O212" i="5"/>
  <c r="P212" i="5"/>
  <c r="Q212" i="5"/>
  <c r="R212" i="5"/>
  <c r="H211" i="5"/>
  <c r="I211" i="5"/>
  <c r="J211" i="5"/>
  <c r="K211" i="5"/>
  <c r="L211" i="5"/>
  <c r="M211" i="5"/>
  <c r="N211" i="5"/>
  <c r="O211" i="5"/>
  <c r="P211" i="5"/>
  <c r="Q211" i="5"/>
  <c r="R211" i="5"/>
  <c r="G210" i="5"/>
  <c r="H210" i="5"/>
  <c r="I210" i="5"/>
  <c r="J210" i="5"/>
  <c r="K210" i="5"/>
  <c r="L210" i="5"/>
  <c r="M210" i="5"/>
  <c r="N210" i="5"/>
  <c r="O210" i="5"/>
  <c r="P210" i="5"/>
  <c r="Q210" i="5"/>
  <c r="R210" i="5"/>
  <c r="G209" i="5"/>
  <c r="H209" i="5"/>
  <c r="I209" i="5"/>
  <c r="J209" i="5"/>
  <c r="K209" i="5"/>
  <c r="L209" i="5"/>
  <c r="M209" i="5"/>
  <c r="N209" i="5"/>
  <c r="O209" i="5"/>
  <c r="P209" i="5"/>
  <c r="Q209" i="5"/>
  <c r="R209" i="5"/>
  <c r="H208" i="5"/>
  <c r="I208" i="5"/>
  <c r="J208" i="5"/>
  <c r="K208" i="5"/>
  <c r="L208" i="5"/>
  <c r="M208" i="5"/>
  <c r="N208" i="5"/>
  <c r="O208" i="5"/>
  <c r="P208" i="5"/>
  <c r="Q208" i="5"/>
  <c r="R208" i="5"/>
  <c r="G207" i="5"/>
  <c r="H207" i="5"/>
  <c r="I207" i="5"/>
  <c r="J207" i="5"/>
  <c r="K207" i="5"/>
  <c r="L207" i="5"/>
  <c r="M207" i="5"/>
  <c r="N207" i="5"/>
  <c r="O207" i="5"/>
  <c r="P207" i="5"/>
  <c r="Q207" i="5"/>
  <c r="R207" i="5"/>
  <c r="I206" i="5"/>
  <c r="J206" i="5"/>
  <c r="K206" i="5"/>
  <c r="L206" i="5"/>
  <c r="M206" i="5"/>
  <c r="N206" i="5"/>
  <c r="O206" i="5"/>
  <c r="P206" i="5"/>
  <c r="Q206" i="5"/>
  <c r="R206" i="5"/>
  <c r="G205" i="5"/>
  <c r="H205" i="5"/>
  <c r="I205" i="5"/>
  <c r="J205" i="5"/>
  <c r="K205" i="5"/>
  <c r="L205" i="5"/>
  <c r="M205" i="5"/>
  <c r="N205" i="5"/>
  <c r="O205" i="5"/>
  <c r="P205" i="5"/>
  <c r="Q205" i="5"/>
  <c r="R205" i="5"/>
  <c r="G197" i="5"/>
  <c r="H197" i="5"/>
  <c r="I197" i="5"/>
  <c r="J197" i="5"/>
  <c r="K197" i="5"/>
  <c r="L197" i="5"/>
  <c r="M197" i="5"/>
  <c r="N197" i="5"/>
  <c r="O197" i="5"/>
  <c r="P197" i="5"/>
  <c r="Q197" i="5"/>
  <c r="R197" i="5"/>
  <c r="I196" i="5"/>
  <c r="J196" i="5"/>
  <c r="K196" i="5"/>
  <c r="L196" i="5"/>
  <c r="M196" i="5"/>
  <c r="N196" i="5"/>
  <c r="O196" i="5"/>
  <c r="P196" i="5"/>
  <c r="Q196" i="5"/>
  <c r="R196" i="5"/>
  <c r="G195" i="5"/>
  <c r="H195" i="5"/>
  <c r="I195" i="5"/>
  <c r="J195" i="5"/>
  <c r="K195" i="5"/>
  <c r="L195" i="5"/>
  <c r="M195" i="5"/>
  <c r="N195" i="5"/>
  <c r="O195" i="5"/>
  <c r="P195" i="5"/>
  <c r="Q195" i="5"/>
  <c r="R195" i="5"/>
  <c r="G194" i="5"/>
  <c r="H194" i="5"/>
  <c r="I194" i="5"/>
  <c r="J194" i="5"/>
  <c r="K194" i="5"/>
  <c r="L194" i="5"/>
  <c r="M194" i="5"/>
  <c r="N194" i="5"/>
  <c r="O194" i="5"/>
  <c r="P194" i="5"/>
  <c r="Q194" i="5"/>
  <c r="R194" i="5"/>
  <c r="I193" i="5"/>
  <c r="J193" i="5"/>
  <c r="K193" i="5"/>
  <c r="L193" i="5"/>
  <c r="M193" i="5"/>
  <c r="N193" i="5"/>
  <c r="O193" i="5"/>
  <c r="P193" i="5"/>
  <c r="Q193" i="5"/>
  <c r="R193" i="5"/>
  <c r="I192" i="5"/>
  <c r="J192" i="5"/>
  <c r="K192" i="5"/>
  <c r="L192" i="5"/>
  <c r="M192" i="5"/>
  <c r="N192" i="5"/>
  <c r="O192" i="5"/>
  <c r="P192" i="5"/>
  <c r="Q192" i="5"/>
  <c r="R192" i="5"/>
  <c r="G191" i="5"/>
  <c r="H191" i="5"/>
  <c r="I191" i="5"/>
  <c r="J191" i="5"/>
  <c r="K191" i="5"/>
  <c r="L191" i="5"/>
  <c r="M191" i="5"/>
  <c r="N191" i="5"/>
  <c r="O191" i="5"/>
  <c r="P191" i="5"/>
  <c r="Q191" i="5"/>
  <c r="R191" i="5"/>
  <c r="I190" i="5"/>
  <c r="J190" i="5"/>
  <c r="K190" i="5"/>
  <c r="L190" i="5"/>
  <c r="M190" i="5"/>
  <c r="N190" i="5"/>
  <c r="O190" i="5"/>
  <c r="P190" i="5"/>
  <c r="Q190" i="5"/>
  <c r="R190" i="5"/>
  <c r="G182" i="5"/>
  <c r="H182" i="5"/>
  <c r="I182" i="5"/>
  <c r="J182" i="5"/>
  <c r="K182" i="5"/>
  <c r="L182" i="5"/>
  <c r="M182" i="5"/>
  <c r="N182" i="5"/>
  <c r="O182" i="5"/>
  <c r="P182" i="5"/>
  <c r="Q182" i="5"/>
  <c r="R182" i="5"/>
  <c r="G181" i="5"/>
  <c r="H181" i="5"/>
  <c r="I181" i="5"/>
  <c r="J181" i="5"/>
  <c r="K181" i="5"/>
  <c r="L181" i="5"/>
  <c r="M181" i="5"/>
  <c r="N181" i="5"/>
  <c r="O181" i="5"/>
  <c r="P181" i="5"/>
  <c r="Q181" i="5"/>
  <c r="R181" i="5"/>
  <c r="G180" i="5"/>
  <c r="H180" i="5"/>
  <c r="I180" i="5"/>
  <c r="J180" i="5"/>
  <c r="K180" i="5"/>
  <c r="L180" i="5"/>
  <c r="M180" i="5"/>
  <c r="N180" i="5"/>
  <c r="O180" i="5"/>
  <c r="P180" i="5"/>
  <c r="Q180" i="5"/>
  <c r="R180" i="5"/>
  <c r="G179" i="5"/>
  <c r="H179" i="5"/>
  <c r="I179" i="5"/>
  <c r="J179" i="5"/>
  <c r="K179" i="5"/>
  <c r="L179" i="5"/>
  <c r="M179" i="5"/>
  <c r="N179" i="5"/>
  <c r="O179" i="5"/>
  <c r="P179" i="5"/>
  <c r="Q179" i="5"/>
  <c r="R179" i="5"/>
  <c r="G178" i="5"/>
  <c r="H178" i="5"/>
  <c r="I178" i="5"/>
  <c r="J178" i="5"/>
  <c r="K178" i="5"/>
  <c r="L178" i="5"/>
  <c r="M178" i="5"/>
  <c r="N178" i="5"/>
  <c r="O178" i="5"/>
  <c r="P178" i="5"/>
  <c r="Q178" i="5"/>
  <c r="R178" i="5"/>
  <c r="G179" i="10"/>
  <c r="G177" i="5"/>
  <c r="H177" i="5"/>
  <c r="I177" i="5"/>
  <c r="J177" i="5"/>
  <c r="K177" i="5"/>
  <c r="L177" i="5"/>
  <c r="M177" i="5"/>
  <c r="N177" i="5"/>
  <c r="O177" i="5"/>
  <c r="P177" i="5"/>
  <c r="Q177" i="5"/>
  <c r="R177" i="5"/>
  <c r="G178" i="10"/>
  <c r="G176" i="5"/>
  <c r="H176" i="5"/>
  <c r="I176" i="5"/>
  <c r="J176" i="5"/>
  <c r="K176" i="5"/>
  <c r="L176" i="5"/>
  <c r="M176" i="5"/>
  <c r="N176" i="5"/>
  <c r="O176" i="5"/>
  <c r="P176" i="5"/>
  <c r="Q176" i="5"/>
  <c r="R176" i="5"/>
  <c r="G175" i="5"/>
  <c r="H175" i="5"/>
  <c r="I175" i="5"/>
  <c r="J175" i="5"/>
  <c r="K175" i="5"/>
  <c r="L175" i="5"/>
  <c r="M175" i="5"/>
  <c r="N175" i="5"/>
  <c r="O175" i="5"/>
  <c r="P175" i="5"/>
  <c r="Q175" i="5"/>
  <c r="R175" i="5"/>
  <c r="G174" i="5"/>
  <c r="H174" i="5"/>
  <c r="I174" i="5"/>
  <c r="J174" i="5"/>
  <c r="K174" i="5"/>
  <c r="L174" i="5"/>
  <c r="M174" i="5"/>
  <c r="N174" i="5"/>
  <c r="O174" i="5"/>
  <c r="P174" i="5"/>
  <c r="Q174" i="5"/>
  <c r="R174" i="5"/>
  <c r="G173" i="5"/>
  <c r="H173" i="5"/>
  <c r="I173" i="5"/>
  <c r="J173" i="5"/>
  <c r="K173" i="5"/>
  <c r="L173" i="5"/>
  <c r="M173" i="5"/>
  <c r="N173" i="5"/>
  <c r="O173" i="5"/>
  <c r="P173" i="5"/>
  <c r="Q173" i="5"/>
  <c r="R173" i="5"/>
  <c r="G172" i="5"/>
  <c r="H172" i="5"/>
  <c r="I172" i="5"/>
  <c r="J172" i="5"/>
  <c r="K172" i="5"/>
  <c r="L172" i="5"/>
  <c r="M172" i="5"/>
  <c r="N172" i="5"/>
  <c r="O172" i="5"/>
  <c r="P172" i="5"/>
  <c r="Q172" i="5"/>
  <c r="R172" i="5"/>
  <c r="G160" i="10"/>
  <c r="G161" i="10"/>
  <c r="G167" i="10"/>
  <c r="G165" i="5"/>
  <c r="H165" i="5"/>
  <c r="I165" i="5"/>
  <c r="J165" i="5"/>
  <c r="K165" i="5"/>
  <c r="L165" i="5"/>
  <c r="M165" i="5"/>
  <c r="N165" i="5"/>
  <c r="O165" i="5"/>
  <c r="P165" i="5"/>
  <c r="Q165" i="5"/>
  <c r="R165" i="5"/>
  <c r="G166" i="10"/>
  <c r="G164" i="5"/>
  <c r="H164" i="5"/>
  <c r="I164" i="5"/>
  <c r="J164" i="5"/>
  <c r="K164" i="5"/>
  <c r="L164" i="5"/>
  <c r="M164" i="5"/>
  <c r="N164" i="5"/>
  <c r="O164" i="5"/>
  <c r="P164" i="5"/>
  <c r="Q164" i="5"/>
  <c r="R164" i="5"/>
  <c r="G163" i="5"/>
  <c r="H163" i="5"/>
  <c r="I163" i="5"/>
  <c r="J163" i="5"/>
  <c r="K163" i="5"/>
  <c r="L163" i="5"/>
  <c r="M163" i="5"/>
  <c r="N163" i="5"/>
  <c r="O163" i="5"/>
  <c r="P163" i="5"/>
  <c r="Q163" i="5"/>
  <c r="R163" i="5"/>
  <c r="G164" i="10"/>
  <c r="G162" i="5"/>
  <c r="H162" i="5"/>
  <c r="I162" i="5"/>
  <c r="J162" i="5"/>
  <c r="K162" i="5"/>
  <c r="L162" i="5"/>
  <c r="M162" i="5"/>
  <c r="N162" i="5"/>
  <c r="O162" i="5"/>
  <c r="P162" i="5"/>
  <c r="Q162" i="5"/>
  <c r="R162" i="5"/>
  <c r="G161" i="5"/>
  <c r="H161" i="5"/>
  <c r="I161" i="5"/>
  <c r="J161" i="5"/>
  <c r="K161" i="5"/>
  <c r="L161" i="5"/>
  <c r="M161" i="5"/>
  <c r="N161" i="5"/>
  <c r="O161" i="5"/>
  <c r="P161" i="5"/>
  <c r="Q161" i="5"/>
  <c r="R161" i="5"/>
  <c r="G162" i="10"/>
  <c r="G160" i="5"/>
  <c r="H160" i="5"/>
  <c r="I160" i="5"/>
  <c r="J160" i="5"/>
  <c r="K160" i="5"/>
  <c r="L160" i="5"/>
  <c r="M160" i="5"/>
  <c r="N160" i="5"/>
  <c r="O160" i="5"/>
  <c r="P160" i="5"/>
  <c r="Q160" i="5"/>
  <c r="R160" i="5"/>
  <c r="G159" i="5"/>
  <c r="H159" i="5"/>
  <c r="I159" i="5"/>
  <c r="J159" i="5"/>
  <c r="K159" i="5"/>
  <c r="L159" i="5"/>
  <c r="M159" i="5"/>
  <c r="N159" i="5"/>
  <c r="O159" i="5"/>
  <c r="P159" i="5"/>
  <c r="Q159" i="5"/>
  <c r="R159" i="5"/>
  <c r="G158" i="5"/>
  <c r="H158" i="5"/>
  <c r="I158" i="5"/>
  <c r="J158" i="5"/>
  <c r="K158" i="5"/>
  <c r="L158" i="5"/>
  <c r="M158" i="5"/>
  <c r="N158" i="5"/>
  <c r="O158" i="5"/>
  <c r="P158" i="5"/>
  <c r="Q158" i="5"/>
  <c r="R158" i="5"/>
  <c r="G157" i="5"/>
  <c r="H157" i="5"/>
  <c r="I157" i="5"/>
  <c r="J157" i="5"/>
  <c r="K157" i="5"/>
  <c r="L157" i="5"/>
  <c r="M157" i="5"/>
  <c r="N157" i="5"/>
  <c r="O157" i="5"/>
  <c r="P157" i="5"/>
  <c r="Q157" i="5"/>
  <c r="R157" i="5"/>
  <c r="G156" i="5"/>
  <c r="H156" i="5"/>
  <c r="I156" i="5"/>
  <c r="J156" i="5"/>
  <c r="K156" i="5"/>
  <c r="L156" i="5"/>
  <c r="M156" i="5"/>
  <c r="N156" i="5"/>
  <c r="O156" i="5"/>
  <c r="P156" i="5"/>
  <c r="Q156" i="5"/>
  <c r="R156" i="5"/>
  <c r="G148" i="10"/>
  <c r="G146" i="5"/>
  <c r="H146" i="5"/>
  <c r="I146" i="5"/>
  <c r="J146" i="5"/>
  <c r="K146" i="5"/>
  <c r="L146" i="5"/>
  <c r="M146" i="5"/>
  <c r="N146" i="5"/>
  <c r="O146" i="5"/>
  <c r="P146" i="5"/>
  <c r="Q146" i="5"/>
  <c r="R146" i="5"/>
  <c r="G147" i="10"/>
  <c r="G145" i="5"/>
  <c r="H145" i="5"/>
  <c r="I145" i="5"/>
  <c r="J145" i="5"/>
  <c r="K145" i="5"/>
  <c r="L145" i="5"/>
  <c r="M145" i="5"/>
  <c r="N145" i="5"/>
  <c r="O145" i="5"/>
  <c r="P145" i="5"/>
  <c r="Q145" i="5"/>
  <c r="R145" i="5"/>
  <c r="G144" i="5"/>
  <c r="H144" i="5"/>
  <c r="I144" i="5"/>
  <c r="J144" i="5"/>
  <c r="K144" i="5"/>
  <c r="L144" i="5"/>
  <c r="M144" i="5"/>
  <c r="N144" i="5"/>
  <c r="O144" i="5"/>
  <c r="P144" i="5"/>
  <c r="Q144" i="5"/>
  <c r="R144" i="5"/>
  <c r="G145" i="10"/>
  <c r="G143" i="5"/>
  <c r="H143" i="5"/>
  <c r="I143" i="5"/>
  <c r="J143" i="5"/>
  <c r="K143" i="5"/>
  <c r="L143" i="5"/>
  <c r="M143" i="5"/>
  <c r="N143" i="5"/>
  <c r="O143" i="5"/>
  <c r="P143" i="5"/>
  <c r="Q143" i="5"/>
  <c r="R143" i="5"/>
  <c r="G144" i="10"/>
  <c r="G142" i="5"/>
  <c r="H142" i="5"/>
  <c r="I142" i="5"/>
  <c r="J142" i="5"/>
  <c r="K142" i="5"/>
  <c r="L142" i="5"/>
  <c r="M142" i="5"/>
  <c r="N142" i="5"/>
  <c r="O142" i="5"/>
  <c r="P142" i="5"/>
  <c r="Q142" i="5"/>
  <c r="R142" i="5"/>
  <c r="G141" i="5"/>
  <c r="H141" i="5"/>
  <c r="I141" i="5"/>
  <c r="J141" i="5"/>
  <c r="K141" i="5"/>
  <c r="L141" i="5"/>
  <c r="M141" i="5"/>
  <c r="N141" i="5"/>
  <c r="O141" i="5"/>
  <c r="P141" i="5"/>
  <c r="Q141" i="5"/>
  <c r="R141" i="5"/>
  <c r="G140" i="5"/>
  <c r="H140" i="5"/>
  <c r="I140" i="5"/>
  <c r="J140" i="5"/>
  <c r="K140" i="5"/>
  <c r="L140" i="5"/>
  <c r="M140" i="5"/>
  <c r="N140" i="5"/>
  <c r="O140" i="5"/>
  <c r="P140" i="5"/>
  <c r="Q140" i="5"/>
  <c r="R140" i="5"/>
  <c r="G139" i="5"/>
  <c r="H139" i="5"/>
  <c r="I139" i="5"/>
  <c r="J139" i="5"/>
  <c r="K139" i="5"/>
  <c r="L139" i="5"/>
  <c r="M139" i="5"/>
  <c r="N139" i="5"/>
  <c r="O139" i="5"/>
  <c r="P139" i="5"/>
  <c r="Q139" i="5"/>
  <c r="R139" i="5"/>
  <c r="G138" i="5"/>
  <c r="H138" i="5"/>
  <c r="I138" i="5"/>
  <c r="J138" i="5"/>
  <c r="K138" i="5"/>
  <c r="L138" i="5"/>
  <c r="M138" i="5"/>
  <c r="N138" i="5"/>
  <c r="O138" i="5"/>
  <c r="P138" i="5"/>
  <c r="Q138" i="5"/>
  <c r="R138" i="5"/>
  <c r="G137" i="5"/>
  <c r="H137" i="5"/>
  <c r="I137" i="5"/>
  <c r="J137" i="5"/>
  <c r="K137" i="5"/>
  <c r="L137" i="5"/>
  <c r="M137" i="5"/>
  <c r="N137" i="5"/>
  <c r="O137" i="5"/>
  <c r="P137" i="5"/>
  <c r="Q137" i="5"/>
  <c r="R137" i="5"/>
  <c r="G135" i="5"/>
  <c r="H135" i="5"/>
  <c r="I135" i="5"/>
  <c r="J135" i="5"/>
  <c r="K135" i="5"/>
  <c r="L135" i="5"/>
  <c r="M135" i="5"/>
  <c r="N135" i="5"/>
  <c r="O135" i="5"/>
  <c r="P135" i="5"/>
  <c r="Q135" i="5"/>
  <c r="R135" i="5"/>
  <c r="G134" i="5"/>
  <c r="H134" i="5"/>
  <c r="I134" i="5"/>
  <c r="J134" i="5"/>
  <c r="K134" i="5"/>
  <c r="L134" i="5"/>
  <c r="M134" i="5"/>
  <c r="N134" i="5"/>
  <c r="O134" i="5"/>
  <c r="P134" i="5"/>
  <c r="Q134" i="5"/>
  <c r="R134" i="5"/>
  <c r="G133" i="5"/>
  <c r="H133" i="5"/>
  <c r="I133" i="5"/>
  <c r="J133" i="5"/>
  <c r="K133" i="5"/>
  <c r="L133" i="5"/>
  <c r="M133" i="5"/>
  <c r="N133" i="5"/>
  <c r="O133" i="5"/>
  <c r="P133" i="5"/>
  <c r="Q133" i="5"/>
  <c r="R133" i="5"/>
  <c r="G132" i="5"/>
  <c r="H132" i="5"/>
  <c r="I132" i="5"/>
  <c r="J132" i="5"/>
  <c r="K132" i="5"/>
  <c r="L132" i="5"/>
  <c r="M132" i="5"/>
  <c r="N132" i="5"/>
  <c r="O132" i="5"/>
  <c r="P132" i="5"/>
  <c r="Q132" i="5"/>
  <c r="R132" i="5"/>
  <c r="G131" i="5"/>
  <c r="H131" i="5"/>
  <c r="I131" i="5"/>
  <c r="J131" i="5"/>
  <c r="K131" i="5"/>
  <c r="L131" i="5"/>
  <c r="M131" i="5"/>
  <c r="N131" i="5"/>
  <c r="O131" i="5"/>
  <c r="P131" i="5"/>
  <c r="Q131" i="5"/>
  <c r="R131" i="5"/>
  <c r="I130" i="5"/>
  <c r="J130" i="5"/>
  <c r="K130" i="5"/>
  <c r="L130" i="5"/>
  <c r="M130" i="5"/>
  <c r="N130" i="5"/>
  <c r="O130" i="5"/>
  <c r="P130" i="5"/>
  <c r="Q130" i="5"/>
  <c r="R130" i="5"/>
  <c r="G106" i="10"/>
  <c r="G107" i="10"/>
  <c r="G108" i="10"/>
  <c r="G122" i="10"/>
  <c r="G120" i="5"/>
  <c r="H120" i="5"/>
  <c r="I120" i="5"/>
  <c r="J120" i="5"/>
  <c r="K120" i="5"/>
  <c r="L120" i="5"/>
  <c r="M120" i="5"/>
  <c r="N120" i="5"/>
  <c r="O120" i="5"/>
  <c r="P120" i="5"/>
  <c r="Q120" i="5"/>
  <c r="R120" i="5"/>
  <c r="G121" i="10"/>
  <c r="G119" i="5"/>
  <c r="H119" i="5"/>
  <c r="I119" i="5"/>
  <c r="J119" i="5"/>
  <c r="K119" i="5"/>
  <c r="L119" i="5"/>
  <c r="M119" i="5"/>
  <c r="N119" i="5"/>
  <c r="O119" i="5"/>
  <c r="P119" i="5"/>
  <c r="Q119" i="5"/>
  <c r="R119" i="5"/>
  <c r="G118" i="5"/>
  <c r="H118" i="5"/>
  <c r="I118" i="5"/>
  <c r="J118" i="5"/>
  <c r="K118" i="5"/>
  <c r="L118" i="5"/>
  <c r="M118" i="5"/>
  <c r="N118" i="5"/>
  <c r="O118" i="5"/>
  <c r="P118" i="5"/>
  <c r="Q118" i="5"/>
  <c r="R118" i="5"/>
  <c r="G119" i="10"/>
  <c r="G117" i="5"/>
  <c r="H117" i="5"/>
  <c r="I117" i="5"/>
  <c r="J117" i="5"/>
  <c r="K117" i="5"/>
  <c r="L117" i="5"/>
  <c r="M117" i="5"/>
  <c r="N117" i="5"/>
  <c r="O117" i="5"/>
  <c r="P117" i="5"/>
  <c r="Q117" i="5"/>
  <c r="R117" i="5"/>
  <c r="G116" i="5"/>
  <c r="H116" i="5"/>
  <c r="I116" i="5"/>
  <c r="J116" i="5"/>
  <c r="K116" i="5"/>
  <c r="L116" i="5"/>
  <c r="M116" i="5"/>
  <c r="N116" i="5"/>
  <c r="O116" i="5"/>
  <c r="P116" i="5"/>
  <c r="Q116" i="5"/>
  <c r="R116" i="5"/>
  <c r="G117" i="10"/>
  <c r="I115" i="5"/>
  <c r="J115" i="5"/>
  <c r="K115" i="5"/>
  <c r="L115" i="5"/>
  <c r="M115" i="5"/>
  <c r="N115" i="5"/>
  <c r="O115" i="5"/>
  <c r="P115" i="5"/>
  <c r="Q115" i="5"/>
  <c r="R115" i="5"/>
  <c r="G116" i="10"/>
  <c r="G114" i="5"/>
  <c r="H114" i="5"/>
  <c r="I114" i="5"/>
  <c r="J114" i="5"/>
  <c r="K114" i="5"/>
  <c r="L114" i="5"/>
  <c r="M114" i="5"/>
  <c r="N114" i="5"/>
  <c r="O114" i="5"/>
  <c r="P114" i="5"/>
  <c r="Q114" i="5"/>
  <c r="R114" i="5"/>
  <c r="G115" i="10"/>
  <c r="G113" i="5"/>
  <c r="H113" i="5"/>
  <c r="I113" i="5"/>
  <c r="J113" i="5"/>
  <c r="K113" i="5"/>
  <c r="L113" i="5"/>
  <c r="M113" i="5"/>
  <c r="N113" i="5"/>
  <c r="O113" i="5"/>
  <c r="P113" i="5"/>
  <c r="Q113" i="5"/>
  <c r="R113" i="5"/>
  <c r="G114" i="10"/>
  <c r="G112" i="5"/>
  <c r="H112" i="5"/>
  <c r="I112" i="5"/>
  <c r="J112" i="5"/>
  <c r="K112" i="5"/>
  <c r="L112" i="5"/>
  <c r="M112" i="5"/>
  <c r="N112" i="5"/>
  <c r="O112" i="5"/>
  <c r="P112" i="5"/>
  <c r="Q112" i="5"/>
  <c r="R112" i="5"/>
  <c r="G113" i="10"/>
  <c r="G111" i="5"/>
  <c r="H111" i="5"/>
  <c r="I111" i="5"/>
  <c r="J111" i="5"/>
  <c r="K111" i="5"/>
  <c r="L111" i="5"/>
  <c r="M111" i="5"/>
  <c r="N111" i="5"/>
  <c r="O111" i="5"/>
  <c r="P111" i="5"/>
  <c r="Q111" i="5"/>
  <c r="R111" i="5"/>
  <c r="G109" i="5"/>
  <c r="H109" i="5"/>
  <c r="I109" i="5"/>
  <c r="J109" i="5"/>
  <c r="K109" i="5"/>
  <c r="L109" i="5"/>
  <c r="M109" i="5"/>
  <c r="N109" i="5"/>
  <c r="O109" i="5"/>
  <c r="P109" i="5"/>
  <c r="Q109" i="5"/>
  <c r="R109" i="5"/>
  <c r="G108" i="5"/>
  <c r="H108" i="5"/>
  <c r="I108" i="5"/>
  <c r="J108" i="5"/>
  <c r="K108" i="5"/>
  <c r="L108" i="5"/>
  <c r="M108" i="5"/>
  <c r="N108" i="5"/>
  <c r="O108" i="5"/>
  <c r="P108" i="5"/>
  <c r="Q108" i="5"/>
  <c r="R108" i="5"/>
  <c r="G107" i="5"/>
  <c r="H107" i="5"/>
  <c r="I107" i="5"/>
  <c r="J107" i="5"/>
  <c r="K107" i="5"/>
  <c r="L107" i="5"/>
  <c r="M107" i="5"/>
  <c r="N107" i="5"/>
  <c r="O107" i="5"/>
  <c r="P107" i="5"/>
  <c r="Q107" i="5"/>
  <c r="R107" i="5"/>
  <c r="G106" i="5"/>
  <c r="H106" i="5"/>
  <c r="I106" i="5"/>
  <c r="J106" i="5"/>
  <c r="K106" i="5"/>
  <c r="L106" i="5"/>
  <c r="M106" i="5"/>
  <c r="N106" i="5"/>
  <c r="O106" i="5"/>
  <c r="P106" i="5"/>
  <c r="Q106" i="5"/>
  <c r="R106" i="5"/>
  <c r="G105" i="5"/>
  <c r="H105" i="5"/>
  <c r="I105" i="5"/>
  <c r="J105" i="5"/>
  <c r="K105" i="5"/>
  <c r="L105" i="5"/>
  <c r="M105" i="5"/>
  <c r="N105" i="5"/>
  <c r="O105" i="5"/>
  <c r="P105" i="5"/>
  <c r="Q105" i="5"/>
  <c r="R105" i="5"/>
  <c r="G104" i="5"/>
  <c r="H104" i="5"/>
  <c r="I104" i="5"/>
  <c r="J104" i="5"/>
  <c r="K104" i="5"/>
  <c r="L104" i="5"/>
  <c r="M104" i="5"/>
  <c r="N104" i="5"/>
  <c r="O104" i="5"/>
  <c r="P104" i="5"/>
  <c r="Q104" i="5"/>
  <c r="R104" i="5"/>
  <c r="I103" i="5"/>
  <c r="J103" i="5"/>
  <c r="K103" i="5"/>
  <c r="L103" i="5"/>
  <c r="M103" i="5"/>
  <c r="N103" i="5"/>
  <c r="O103" i="5"/>
  <c r="P103" i="5"/>
  <c r="Q103" i="5"/>
  <c r="R103" i="5"/>
  <c r="I77" i="5"/>
  <c r="J77" i="5"/>
  <c r="K77" i="5"/>
  <c r="L77" i="5"/>
  <c r="M77" i="5"/>
  <c r="N77" i="5"/>
  <c r="O77" i="5"/>
  <c r="P77" i="5"/>
  <c r="Q77" i="5"/>
  <c r="R77" i="5"/>
  <c r="I78" i="5"/>
  <c r="J78" i="5"/>
  <c r="K78" i="5"/>
  <c r="L78" i="5"/>
  <c r="M78" i="5"/>
  <c r="N78" i="5"/>
  <c r="O78" i="5"/>
  <c r="P78" i="5"/>
  <c r="Q78" i="5"/>
  <c r="R78" i="5"/>
  <c r="I79" i="5"/>
  <c r="J79" i="5"/>
  <c r="K79" i="5"/>
  <c r="L79" i="5"/>
  <c r="M79" i="5"/>
  <c r="N79" i="5"/>
  <c r="O79" i="5"/>
  <c r="P79" i="5"/>
  <c r="Q79" i="5"/>
  <c r="R79" i="5"/>
  <c r="G80" i="5"/>
  <c r="I80" i="5"/>
  <c r="J80" i="5"/>
  <c r="K80" i="5"/>
  <c r="L80" i="5"/>
  <c r="M80" i="5"/>
  <c r="N80" i="5"/>
  <c r="O80" i="5"/>
  <c r="P80" i="5"/>
  <c r="Q80" i="5"/>
  <c r="R80" i="5"/>
  <c r="G81" i="5"/>
  <c r="I81" i="5"/>
  <c r="J81" i="5"/>
  <c r="K81" i="5"/>
  <c r="L81" i="5"/>
  <c r="M81" i="5"/>
  <c r="N81" i="5"/>
  <c r="O81" i="5"/>
  <c r="P81" i="5"/>
  <c r="Q81" i="5"/>
  <c r="R81" i="5"/>
  <c r="G82" i="5"/>
  <c r="I82" i="5"/>
  <c r="J82" i="5"/>
  <c r="K82" i="5"/>
  <c r="L82" i="5"/>
  <c r="M82" i="5"/>
  <c r="N82" i="5"/>
  <c r="O82" i="5"/>
  <c r="P82" i="5"/>
  <c r="Q82" i="5"/>
  <c r="R82" i="5"/>
  <c r="G86" i="10"/>
  <c r="G84" i="5"/>
  <c r="H84" i="5"/>
  <c r="I84" i="5"/>
  <c r="J84" i="5"/>
  <c r="K84" i="5"/>
  <c r="L84" i="5"/>
  <c r="M84" i="5"/>
  <c r="N84" i="5"/>
  <c r="O84" i="5"/>
  <c r="P84" i="5"/>
  <c r="Q84" i="5"/>
  <c r="R84" i="5"/>
  <c r="G87" i="10"/>
  <c r="G85" i="5"/>
  <c r="H85" i="5"/>
  <c r="I85" i="5"/>
  <c r="J85" i="5"/>
  <c r="K85" i="5"/>
  <c r="L85" i="5"/>
  <c r="M85" i="5"/>
  <c r="N85" i="5"/>
  <c r="O85" i="5"/>
  <c r="P85" i="5"/>
  <c r="Q85" i="5"/>
  <c r="R85" i="5"/>
  <c r="G88" i="10"/>
  <c r="G86" i="5"/>
  <c r="H86" i="5"/>
  <c r="I86" i="5"/>
  <c r="J86" i="5"/>
  <c r="K86" i="5"/>
  <c r="L86" i="5"/>
  <c r="M86" i="5"/>
  <c r="N86" i="5"/>
  <c r="O86" i="5"/>
  <c r="P86" i="5"/>
  <c r="Q86" i="5"/>
  <c r="R86" i="5"/>
  <c r="G89" i="10"/>
  <c r="G87" i="5"/>
  <c r="H87" i="5"/>
  <c r="I87" i="5"/>
  <c r="J87" i="5"/>
  <c r="K87" i="5"/>
  <c r="L87" i="5"/>
  <c r="M87" i="5"/>
  <c r="N87" i="5"/>
  <c r="O87" i="5"/>
  <c r="P87" i="5"/>
  <c r="Q87" i="5"/>
  <c r="R87" i="5"/>
  <c r="I88" i="5"/>
  <c r="J88" i="5"/>
  <c r="K88" i="5"/>
  <c r="L88" i="5"/>
  <c r="M88" i="5"/>
  <c r="N88" i="5"/>
  <c r="O88" i="5"/>
  <c r="P88" i="5"/>
  <c r="Q88" i="5"/>
  <c r="R88" i="5"/>
  <c r="G89" i="5"/>
  <c r="H89" i="5"/>
  <c r="I89" i="5"/>
  <c r="J89" i="5"/>
  <c r="K89" i="5"/>
  <c r="L89" i="5"/>
  <c r="M89" i="5"/>
  <c r="N89" i="5"/>
  <c r="O89" i="5"/>
  <c r="P89" i="5"/>
  <c r="Q89" i="5"/>
  <c r="R89" i="5"/>
  <c r="G92" i="10"/>
  <c r="G90" i="5"/>
  <c r="H90" i="5"/>
  <c r="I90" i="5"/>
  <c r="J90" i="5"/>
  <c r="K90" i="5"/>
  <c r="L90" i="5"/>
  <c r="M90" i="5"/>
  <c r="N90" i="5"/>
  <c r="O90" i="5"/>
  <c r="P90" i="5"/>
  <c r="Q90" i="5"/>
  <c r="R90" i="5"/>
  <c r="G91" i="5"/>
  <c r="H91" i="5"/>
  <c r="I91" i="5"/>
  <c r="J91" i="5"/>
  <c r="K91" i="5"/>
  <c r="L91" i="5"/>
  <c r="M91" i="5"/>
  <c r="N91" i="5"/>
  <c r="O91" i="5"/>
  <c r="P91" i="5"/>
  <c r="Q91" i="5"/>
  <c r="R91" i="5"/>
  <c r="G94" i="10"/>
  <c r="G92" i="5"/>
  <c r="H92" i="5"/>
  <c r="I92" i="5"/>
  <c r="J92" i="5"/>
  <c r="K92" i="5"/>
  <c r="L92" i="5"/>
  <c r="M92" i="5"/>
  <c r="N92" i="5"/>
  <c r="O92" i="5"/>
  <c r="P92" i="5"/>
  <c r="Q92" i="5"/>
  <c r="R92" i="5"/>
  <c r="G93" i="5"/>
  <c r="H93" i="5"/>
  <c r="I93" i="5"/>
  <c r="J93" i="5"/>
  <c r="K93" i="5"/>
  <c r="L93" i="5"/>
  <c r="M93" i="5"/>
  <c r="N93" i="5"/>
  <c r="O93" i="5"/>
  <c r="P93" i="5"/>
  <c r="Q93" i="5"/>
  <c r="R93" i="5"/>
  <c r="R98" i="5"/>
  <c r="Q98" i="5"/>
  <c r="P98" i="5"/>
  <c r="O98" i="5"/>
  <c r="N98" i="5"/>
  <c r="M98" i="5"/>
  <c r="L98" i="5"/>
  <c r="K98" i="5"/>
  <c r="J98" i="5"/>
  <c r="H66" i="5"/>
  <c r="H62" i="5"/>
  <c r="H61" i="5"/>
  <c r="H60" i="5"/>
  <c r="H59" i="5"/>
  <c r="H56" i="5"/>
  <c r="H55" i="5"/>
  <c r="H54" i="5"/>
  <c r="H53" i="5"/>
  <c r="H52" i="5"/>
  <c r="H51" i="5"/>
  <c r="H49" i="5"/>
  <c r="H48" i="5"/>
  <c r="H47" i="5"/>
  <c r="H43" i="5"/>
  <c r="H41" i="5"/>
  <c r="H330" i="5"/>
  <c r="G333" i="10"/>
  <c r="J330" i="5"/>
  <c r="K330" i="5"/>
  <c r="L330" i="5"/>
  <c r="M330" i="5"/>
  <c r="N330" i="5"/>
  <c r="O330" i="5"/>
  <c r="P330" i="5"/>
  <c r="Q330" i="5"/>
  <c r="R330" i="5"/>
  <c r="I286" i="5"/>
  <c r="J286" i="5"/>
  <c r="K286" i="5"/>
  <c r="L286" i="5"/>
  <c r="M286" i="5"/>
  <c r="N286" i="5"/>
  <c r="O286" i="5"/>
  <c r="P286" i="5"/>
  <c r="Q286" i="5"/>
  <c r="R286" i="5"/>
  <c r="G239" i="4"/>
  <c r="H239" i="4"/>
  <c r="I239" i="4"/>
  <c r="J239" i="4"/>
  <c r="K239" i="4"/>
  <c r="G267" i="4"/>
  <c r="H267" i="4"/>
  <c r="I267" i="4"/>
  <c r="J267" i="4"/>
  <c r="K267" i="4"/>
  <c r="K333" i="4"/>
  <c r="J333" i="4"/>
  <c r="I333" i="4"/>
  <c r="G257" i="4"/>
  <c r="H257" i="4"/>
  <c r="I257" i="4"/>
  <c r="J257" i="4"/>
  <c r="K257" i="4"/>
  <c r="K282" i="4"/>
  <c r="J282" i="4"/>
  <c r="I282" i="4"/>
  <c r="K281" i="4"/>
  <c r="J281" i="4"/>
  <c r="I281" i="4"/>
  <c r="K280" i="4"/>
  <c r="J280" i="4"/>
  <c r="I280" i="4"/>
  <c r="K279" i="4"/>
  <c r="J279" i="4"/>
  <c r="I279" i="4"/>
  <c r="K278" i="4"/>
  <c r="J278" i="4"/>
  <c r="I278" i="4"/>
  <c r="H282" i="4"/>
  <c r="H281" i="4"/>
  <c r="G277" i="4"/>
  <c r="H277" i="4"/>
  <c r="I277" i="4"/>
  <c r="J277" i="4"/>
  <c r="K277" i="4"/>
  <c r="H280" i="4"/>
  <c r="H279" i="4"/>
  <c r="H278" i="4"/>
  <c r="K251" i="4"/>
  <c r="J251" i="4"/>
  <c r="I251" i="4"/>
  <c r="K250" i="4"/>
  <c r="J250" i="4"/>
  <c r="I250" i="4"/>
  <c r="K248" i="4"/>
  <c r="J248" i="4"/>
  <c r="I248" i="4"/>
  <c r="H251" i="4"/>
  <c r="H250" i="4"/>
  <c r="H248" i="4"/>
  <c r="K246" i="4"/>
  <c r="J246" i="4"/>
  <c r="I246" i="4"/>
  <c r="H246" i="4"/>
  <c r="E25" i="16"/>
  <c r="G25" i="16"/>
  <c r="I25" i="16"/>
  <c r="K25" i="16"/>
  <c r="K210" i="4"/>
  <c r="K225" i="4"/>
  <c r="J210" i="4"/>
  <c r="J225" i="4"/>
  <c r="I210" i="4"/>
  <c r="I225" i="4"/>
  <c r="K224" i="4"/>
  <c r="J224" i="4"/>
  <c r="I224" i="4"/>
  <c r="K222" i="4"/>
  <c r="J222" i="4"/>
  <c r="I222" i="4"/>
  <c r="H210" i="4"/>
  <c r="H225" i="4"/>
  <c r="H224" i="4"/>
  <c r="H222" i="4"/>
  <c r="K220" i="4"/>
  <c r="J220" i="4"/>
  <c r="I220" i="4"/>
  <c r="H220" i="4"/>
  <c r="K184" i="4"/>
  <c r="J184" i="4"/>
  <c r="I184" i="4"/>
  <c r="K183" i="4"/>
  <c r="J183" i="4"/>
  <c r="I183" i="4"/>
  <c r="K181" i="4"/>
  <c r="J181" i="4"/>
  <c r="I181" i="4"/>
  <c r="H184" i="4"/>
  <c r="H183" i="4"/>
  <c r="H181" i="4"/>
  <c r="K179" i="4"/>
  <c r="J179" i="4"/>
  <c r="I179" i="4"/>
  <c r="H179" i="4"/>
  <c r="K162" i="4"/>
  <c r="J162" i="4"/>
  <c r="I162" i="4"/>
  <c r="E15" i="16"/>
  <c r="G15" i="16"/>
  <c r="I15" i="16"/>
  <c r="K15" i="16"/>
  <c r="K160" i="4"/>
  <c r="E16" i="16"/>
  <c r="G16" i="16"/>
  <c r="I16" i="16"/>
  <c r="K16" i="16"/>
  <c r="K161" i="4"/>
  <c r="K167" i="4"/>
  <c r="J160" i="4"/>
  <c r="J161" i="4"/>
  <c r="J167" i="4"/>
  <c r="I160" i="4"/>
  <c r="I161" i="4"/>
  <c r="I167" i="4"/>
  <c r="K166" i="4"/>
  <c r="J166" i="4"/>
  <c r="I166" i="4"/>
  <c r="K164" i="4"/>
  <c r="J164" i="4"/>
  <c r="I164" i="4"/>
  <c r="H160" i="4"/>
  <c r="H161" i="4"/>
  <c r="H167" i="4"/>
  <c r="H166" i="4"/>
  <c r="H164" i="4"/>
  <c r="H162" i="4"/>
  <c r="E7" i="16"/>
  <c r="G7" i="16"/>
  <c r="I7" i="16"/>
  <c r="E9" i="16"/>
  <c r="G9" i="16"/>
  <c r="I9" i="16"/>
  <c r="K105" i="4"/>
  <c r="E8" i="16"/>
  <c r="G8" i="16"/>
  <c r="I8" i="16"/>
  <c r="E10" i="16"/>
  <c r="G10" i="16"/>
  <c r="I10" i="16"/>
  <c r="K106" i="4"/>
  <c r="K108" i="4"/>
  <c r="K122" i="4"/>
  <c r="J106" i="4"/>
  <c r="J108" i="4"/>
  <c r="J122" i="4"/>
  <c r="I105" i="4"/>
  <c r="I106" i="4"/>
  <c r="I108" i="4"/>
  <c r="I122" i="4"/>
  <c r="K121" i="4"/>
  <c r="J121" i="4"/>
  <c r="I121" i="4"/>
  <c r="K119" i="4"/>
  <c r="J119" i="4"/>
  <c r="I119" i="4"/>
  <c r="H105" i="4"/>
  <c r="H106" i="4"/>
  <c r="H108" i="4"/>
  <c r="H122" i="4"/>
  <c r="H121" i="4"/>
  <c r="H119" i="4"/>
  <c r="E4" i="16"/>
  <c r="G4" i="16"/>
  <c r="I4" i="16"/>
  <c r="K4" i="16"/>
  <c r="K80" i="4"/>
  <c r="E2" i="16"/>
  <c r="G2" i="16"/>
  <c r="I2" i="16"/>
  <c r="K2" i="16"/>
  <c r="E3" i="16"/>
  <c r="G3" i="16"/>
  <c r="I3" i="16"/>
  <c r="K3" i="16"/>
  <c r="J80" i="4"/>
  <c r="K95" i="4"/>
  <c r="J95" i="4"/>
  <c r="I80" i="4"/>
  <c r="I95" i="4"/>
  <c r="K94" i="4"/>
  <c r="J94" i="4"/>
  <c r="I94" i="4"/>
  <c r="K92" i="4"/>
  <c r="J92" i="4"/>
  <c r="I92" i="4"/>
  <c r="I90" i="4"/>
  <c r="J90" i="4"/>
  <c r="K90" i="4"/>
  <c r="G89" i="4"/>
  <c r="H89" i="4"/>
  <c r="I89" i="4"/>
  <c r="J89" i="4"/>
  <c r="K89" i="4"/>
  <c r="G88" i="4"/>
  <c r="H88" i="4"/>
  <c r="I88" i="4"/>
  <c r="J88" i="4"/>
  <c r="K88" i="4"/>
  <c r="G87" i="4"/>
  <c r="H87" i="4"/>
  <c r="I87" i="4"/>
  <c r="J87" i="4"/>
  <c r="K87" i="4"/>
  <c r="G86" i="4"/>
  <c r="H86" i="4"/>
  <c r="I86" i="4"/>
  <c r="J86" i="4"/>
  <c r="K86" i="4"/>
  <c r="G84" i="4"/>
  <c r="H84" i="4"/>
  <c r="I84" i="4"/>
  <c r="J84" i="4"/>
  <c r="K84" i="4"/>
  <c r="G83" i="4"/>
  <c r="H83" i="4"/>
  <c r="I83" i="4"/>
  <c r="J83" i="4"/>
  <c r="K83" i="4"/>
  <c r="G82" i="4"/>
  <c r="H82" i="4"/>
  <c r="I82" i="4"/>
  <c r="J82" i="4"/>
  <c r="K82" i="4"/>
  <c r="K117" i="4"/>
  <c r="J117" i="4"/>
  <c r="I117" i="4"/>
  <c r="H117" i="4"/>
  <c r="H333" i="4"/>
  <c r="K49" i="4"/>
  <c r="K53" i="4"/>
  <c r="K57" i="4"/>
  <c r="J49" i="4"/>
  <c r="J53" i="4"/>
  <c r="J57" i="4"/>
  <c r="I49" i="4"/>
  <c r="I53" i="4"/>
  <c r="I57" i="4"/>
  <c r="H49" i="4"/>
  <c r="H53" i="4"/>
  <c r="H57" i="4"/>
  <c r="G313" i="4"/>
  <c r="H313" i="4"/>
  <c r="I313" i="4"/>
  <c r="J313" i="4"/>
  <c r="K313" i="4"/>
  <c r="G304" i="4"/>
  <c r="H304" i="4"/>
  <c r="I304" i="4"/>
  <c r="J304" i="4"/>
  <c r="K304" i="4"/>
  <c r="G303" i="4"/>
  <c r="H303" i="4"/>
  <c r="I303" i="4"/>
  <c r="J303" i="4"/>
  <c r="K303" i="4"/>
  <c r="G302" i="4"/>
  <c r="H302" i="4"/>
  <c r="I302" i="4"/>
  <c r="J302" i="4"/>
  <c r="K302" i="4"/>
  <c r="G301" i="4"/>
  <c r="H301" i="4"/>
  <c r="I301" i="4"/>
  <c r="J301" i="4"/>
  <c r="K301" i="4"/>
  <c r="G300" i="4"/>
  <c r="H300" i="4"/>
  <c r="I300" i="4"/>
  <c r="J300" i="4"/>
  <c r="K300" i="4"/>
  <c r="G299" i="4"/>
  <c r="H299" i="4"/>
  <c r="I299" i="4"/>
  <c r="J299" i="4"/>
  <c r="K299" i="4"/>
  <c r="G298" i="4"/>
  <c r="H298" i="4"/>
  <c r="I298" i="4"/>
  <c r="J298" i="4"/>
  <c r="K298" i="4"/>
  <c r="G297" i="4"/>
  <c r="H297" i="4"/>
  <c r="I297" i="4"/>
  <c r="J297" i="4"/>
  <c r="K297" i="4"/>
  <c r="G296" i="4"/>
  <c r="H296" i="4"/>
  <c r="I296" i="4"/>
  <c r="J296" i="4"/>
  <c r="K296" i="4"/>
  <c r="G295" i="4"/>
  <c r="H295" i="4"/>
  <c r="I295" i="4"/>
  <c r="J295" i="4"/>
  <c r="K295" i="4"/>
  <c r="G294" i="4"/>
  <c r="H294" i="4"/>
  <c r="I294" i="4"/>
  <c r="J294" i="4"/>
  <c r="K294" i="4"/>
  <c r="G293" i="4"/>
  <c r="H293" i="4"/>
  <c r="I293" i="4"/>
  <c r="J293" i="4"/>
  <c r="K293" i="4"/>
  <c r="G292" i="4"/>
  <c r="H292" i="4"/>
  <c r="I292" i="4"/>
  <c r="J292" i="4"/>
  <c r="K292" i="4"/>
  <c r="G291" i="4"/>
  <c r="H291" i="4"/>
  <c r="I291" i="4"/>
  <c r="J291" i="4"/>
  <c r="K291" i="4"/>
  <c r="G289" i="4"/>
  <c r="G273" i="4"/>
  <c r="H273" i="4"/>
  <c r="I273" i="4"/>
  <c r="J273" i="4"/>
  <c r="K273" i="4"/>
  <c r="G272" i="4"/>
  <c r="H272" i="4"/>
  <c r="I272" i="4"/>
  <c r="J272" i="4"/>
  <c r="K272" i="4"/>
  <c r="G271" i="4"/>
  <c r="H271" i="4"/>
  <c r="I271" i="4"/>
  <c r="J271" i="4"/>
  <c r="K271" i="4"/>
  <c r="G270" i="4"/>
  <c r="H270" i="4"/>
  <c r="I270" i="4"/>
  <c r="J270" i="4"/>
  <c r="K270" i="4"/>
  <c r="G269" i="4"/>
  <c r="H269" i="4"/>
  <c r="I269" i="4"/>
  <c r="J269" i="4"/>
  <c r="K269" i="4"/>
  <c r="G243" i="4"/>
  <c r="K243" i="4"/>
  <c r="J243" i="4"/>
  <c r="I243" i="4"/>
  <c r="H243" i="4"/>
  <c r="G242" i="4"/>
  <c r="K242" i="4"/>
  <c r="J242" i="4"/>
  <c r="I242" i="4"/>
  <c r="H242" i="4"/>
  <c r="G241" i="4"/>
  <c r="K241" i="4"/>
  <c r="J241" i="4"/>
  <c r="I241" i="4"/>
  <c r="H241" i="4"/>
  <c r="G219" i="4"/>
  <c r="K219" i="4"/>
  <c r="J219" i="4"/>
  <c r="I219" i="4"/>
  <c r="H219" i="4"/>
  <c r="G218" i="4"/>
  <c r="K218" i="4"/>
  <c r="J218" i="4"/>
  <c r="I218" i="4"/>
  <c r="H218" i="4"/>
  <c r="G217" i="4"/>
  <c r="K217" i="4"/>
  <c r="J217" i="4"/>
  <c r="I217" i="4"/>
  <c r="H217" i="4"/>
  <c r="G216" i="4"/>
  <c r="K216" i="4"/>
  <c r="J216" i="4"/>
  <c r="I216" i="4"/>
  <c r="H216" i="4"/>
  <c r="G215" i="4"/>
  <c r="K215" i="4"/>
  <c r="J215" i="4"/>
  <c r="I215" i="4"/>
  <c r="H215" i="4"/>
  <c r="G214" i="4"/>
  <c r="K214" i="4"/>
  <c r="J214" i="4"/>
  <c r="I214" i="4"/>
  <c r="H214" i="4"/>
  <c r="G213" i="4"/>
  <c r="K213" i="4"/>
  <c r="J213" i="4"/>
  <c r="I213" i="4"/>
  <c r="H213" i="4"/>
  <c r="G212" i="4"/>
  <c r="K212" i="4"/>
  <c r="J212" i="4"/>
  <c r="I212" i="4"/>
  <c r="H212" i="4"/>
  <c r="G211" i="4"/>
  <c r="K211" i="4"/>
  <c r="J211" i="4"/>
  <c r="I211" i="4"/>
  <c r="H211" i="4"/>
  <c r="G192" i="4"/>
  <c r="K192" i="4"/>
  <c r="J192" i="4"/>
  <c r="I192" i="4"/>
  <c r="H192" i="4"/>
  <c r="G177" i="4"/>
  <c r="K177" i="4"/>
  <c r="J177" i="4"/>
  <c r="I177" i="4"/>
  <c r="H177" i="4"/>
  <c r="G176" i="4"/>
  <c r="K176" i="4"/>
  <c r="J176" i="4"/>
  <c r="I176" i="4"/>
  <c r="H176" i="4"/>
  <c r="G116" i="4"/>
  <c r="K116" i="4"/>
  <c r="J116" i="4"/>
  <c r="I116" i="4"/>
  <c r="H116" i="4"/>
  <c r="G115" i="4"/>
  <c r="K115" i="4"/>
  <c r="J115" i="4"/>
  <c r="I115" i="4"/>
  <c r="H115" i="4"/>
  <c r="G114" i="4"/>
  <c r="K114" i="4"/>
  <c r="J114" i="4"/>
  <c r="I114" i="4"/>
  <c r="H114" i="4"/>
  <c r="G113" i="4"/>
  <c r="K113" i="4"/>
  <c r="J113" i="4"/>
  <c r="I113" i="4"/>
  <c r="H113" i="4"/>
  <c r="G109" i="4"/>
  <c r="K109" i="4"/>
  <c r="J109" i="4"/>
  <c r="I109" i="4"/>
  <c r="H109" i="4"/>
  <c r="H80" i="4"/>
  <c r="H95" i="4"/>
  <c r="H94" i="4"/>
  <c r="H92" i="4"/>
  <c r="H90" i="4"/>
  <c r="E20" i="16"/>
  <c r="G20" i="16"/>
  <c r="I20" i="16"/>
  <c r="K20" i="16"/>
  <c r="K10" i="16"/>
  <c r="K9" i="16"/>
  <c r="K8" i="16"/>
  <c r="K7" i="16"/>
  <c r="G395" i="4"/>
  <c r="G386" i="4"/>
  <c r="G385" i="4"/>
  <c r="G384" i="4"/>
  <c r="G383" i="4"/>
  <c r="G374" i="4"/>
  <c r="G373" i="4"/>
  <c r="G372" i="4"/>
  <c r="G371" i="4"/>
  <c r="G370" i="4"/>
  <c r="G361" i="4"/>
  <c r="G360" i="4"/>
  <c r="G359" i="4"/>
  <c r="G358" i="4"/>
  <c r="G357" i="4"/>
  <c r="G356" i="4"/>
  <c r="G355" i="4"/>
  <c r="G354" i="4"/>
  <c r="G346" i="4"/>
  <c r="G345" i="4"/>
  <c r="G344" i="4"/>
  <c r="G343" i="4"/>
  <c r="G342" i="4"/>
  <c r="G341" i="4"/>
  <c r="G340" i="4"/>
  <c r="G339" i="4"/>
  <c r="G338" i="4"/>
  <c r="G337" i="4"/>
  <c r="G336" i="4"/>
  <c r="G335" i="4"/>
  <c r="G334" i="4"/>
  <c r="G333" i="4"/>
  <c r="G332" i="4"/>
  <c r="G331" i="4"/>
  <c r="G314" i="4"/>
  <c r="G312" i="4"/>
  <c r="G282" i="4"/>
  <c r="G281" i="4"/>
  <c r="G280" i="4"/>
  <c r="G279" i="4"/>
  <c r="G278" i="4"/>
  <c r="G276" i="4"/>
  <c r="G275" i="4"/>
  <c r="G274" i="4"/>
  <c r="G266" i="4"/>
  <c r="G264" i="4"/>
  <c r="G263" i="4"/>
  <c r="G262" i="4"/>
  <c r="G261" i="4"/>
  <c r="G260" i="4"/>
  <c r="G259" i="4"/>
  <c r="G258" i="4"/>
  <c r="G251" i="4"/>
  <c r="G250" i="4"/>
  <c r="G249" i="4"/>
  <c r="G248" i="4"/>
  <c r="G247" i="4"/>
  <c r="G246" i="4"/>
  <c r="G240" i="4"/>
  <c r="G238" i="4"/>
  <c r="G237" i="4"/>
  <c r="G236" i="4"/>
  <c r="G235" i="4"/>
  <c r="G234" i="4"/>
  <c r="G225" i="4"/>
  <c r="G224" i="4"/>
  <c r="G223" i="4"/>
  <c r="G222" i="4"/>
  <c r="G221" i="4"/>
  <c r="G220" i="4"/>
  <c r="G210" i="4"/>
  <c r="G209" i="4"/>
  <c r="G208" i="4"/>
  <c r="G200" i="4"/>
  <c r="G197" i="4"/>
  <c r="G196" i="4"/>
  <c r="G184" i="4"/>
  <c r="G183" i="4"/>
  <c r="G182" i="4"/>
  <c r="G181" i="4"/>
  <c r="G180" i="4"/>
  <c r="G179" i="4"/>
  <c r="G174" i="4"/>
  <c r="G167" i="4"/>
  <c r="G166" i="4"/>
  <c r="G165" i="4"/>
  <c r="G164" i="4"/>
  <c r="G163" i="4"/>
  <c r="G162" i="4"/>
  <c r="G161" i="4"/>
  <c r="G160" i="4"/>
  <c r="G159" i="4"/>
  <c r="G158" i="4"/>
  <c r="G148" i="4"/>
  <c r="G147" i="4"/>
  <c r="G146" i="4"/>
  <c r="G145" i="4"/>
  <c r="G144" i="4"/>
  <c r="G143" i="4"/>
  <c r="G142" i="4"/>
  <c r="G141" i="4"/>
  <c r="G140" i="4"/>
  <c r="G137" i="4"/>
  <c r="G136" i="4"/>
  <c r="G135" i="4"/>
  <c r="G134" i="4"/>
  <c r="G133" i="4"/>
  <c r="G132" i="4"/>
  <c r="G122" i="4"/>
  <c r="G121" i="4"/>
  <c r="G120" i="4"/>
  <c r="G119" i="4"/>
  <c r="G118" i="4"/>
  <c r="G117" i="4"/>
  <c r="G111" i="4"/>
  <c r="G110" i="4"/>
  <c r="G108" i="4"/>
  <c r="G107" i="4"/>
  <c r="G106" i="4"/>
  <c r="G105" i="4"/>
  <c r="G95" i="4"/>
  <c r="G94" i="4"/>
  <c r="G93" i="4"/>
  <c r="G92" i="4"/>
  <c r="G91" i="4"/>
  <c r="G90" i="4"/>
  <c r="G80" i="4"/>
  <c r="G79" i="4"/>
  <c r="G68" i="4"/>
  <c r="G57" i="4"/>
  <c r="G55" i="4"/>
  <c r="G54" i="4"/>
  <c r="G53" i="4"/>
  <c r="G50" i="4"/>
  <c r="G49" i="4"/>
  <c r="G47" i="4"/>
  <c r="G45" i="4"/>
  <c r="G43" i="4"/>
  <c r="G30" i="4"/>
  <c r="G29" i="4"/>
  <c r="G28" i="4"/>
  <c r="G26" i="4"/>
  <c r="G25" i="4"/>
  <c r="G20" i="4"/>
  <c r="G19" i="4"/>
  <c r="G17" i="4"/>
  <c r="G16" i="4"/>
  <c r="G14" i="4"/>
  <c r="G12" i="4"/>
  <c r="D81" i="15"/>
  <c r="D76" i="15"/>
  <c r="D75" i="15"/>
  <c r="D72" i="15"/>
  <c r="F32" i="15"/>
  <c r="E32" i="15"/>
  <c r="D32" i="15"/>
  <c r="C32" i="15"/>
  <c r="B32" i="15"/>
  <c r="J100" i="4"/>
  <c r="J127" i="4"/>
  <c r="J153" i="4"/>
  <c r="J154" i="4"/>
  <c r="K100" i="4"/>
  <c r="K127" i="4"/>
  <c r="K153" i="4"/>
  <c r="K154" i="4"/>
  <c r="J171" i="4"/>
  <c r="K171" i="4"/>
  <c r="K188" i="4"/>
  <c r="K204" i="4"/>
  <c r="K229" i="4"/>
  <c r="K254" i="4"/>
  <c r="K286" i="4"/>
  <c r="K308" i="4"/>
  <c r="K324" i="4"/>
  <c r="K327" i="4"/>
  <c r="J188" i="4"/>
  <c r="J204" i="4"/>
  <c r="J229" i="4"/>
  <c r="J254" i="4"/>
  <c r="J286" i="4"/>
  <c r="J308" i="4"/>
  <c r="J324" i="4"/>
  <c r="J350" i="4"/>
  <c r="K350" i="4"/>
  <c r="K365" i="4"/>
  <c r="K368" i="4"/>
  <c r="J365" i="4"/>
  <c r="J379" i="4"/>
  <c r="K379" i="4"/>
  <c r="J390" i="4"/>
  <c r="K390" i="4"/>
  <c r="J397" i="4"/>
  <c r="K397" i="4"/>
  <c r="G100" i="10"/>
  <c r="G127" i="10"/>
  <c r="G153" i="10"/>
  <c r="G171" i="10"/>
  <c r="G188" i="10"/>
  <c r="G204" i="10"/>
  <c r="G229" i="10"/>
  <c r="G254" i="10"/>
  <c r="G286" i="10"/>
  <c r="G308" i="10"/>
  <c r="G324" i="10"/>
  <c r="G350" i="10"/>
  <c r="G365" i="10"/>
  <c r="G368" i="10"/>
  <c r="G379" i="10"/>
  <c r="G390" i="10"/>
  <c r="G397" i="10"/>
  <c r="S135" i="5"/>
  <c r="S134" i="5"/>
  <c r="S133" i="5"/>
  <c r="S132" i="5"/>
  <c r="S131" i="5"/>
  <c r="S130" i="5"/>
  <c r="S393" i="5"/>
  <c r="S392" i="5"/>
  <c r="S394" i="5"/>
  <c r="S386" i="5"/>
  <c r="S385" i="5"/>
  <c r="S384" i="5"/>
  <c r="S383" i="5"/>
  <c r="S382" i="5"/>
  <c r="S380" i="5"/>
  <c r="S381" i="5"/>
  <c r="S387" i="5"/>
  <c r="S374" i="5"/>
  <c r="S373" i="5"/>
  <c r="S372" i="5"/>
  <c r="S371" i="5"/>
  <c r="S370" i="5"/>
  <c r="S369" i="5"/>
  <c r="S367" i="5"/>
  <c r="S368" i="5"/>
  <c r="S376" i="5"/>
  <c r="S361" i="5"/>
  <c r="S360" i="5"/>
  <c r="S359" i="5"/>
  <c r="S358" i="5"/>
  <c r="S357" i="5"/>
  <c r="S356" i="5"/>
  <c r="S355" i="5"/>
  <c r="S354" i="5"/>
  <c r="S353" i="5"/>
  <c r="S351" i="5"/>
  <c r="S352" i="5"/>
  <c r="S362" i="5"/>
  <c r="S346" i="5"/>
  <c r="S345" i="5"/>
  <c r="S344" i="5"/>
  <c r="S343" i="5"/>
  <c r="S342" i="5"/>
  <c r="S341" i="5"/>
  <c r="S340" i="5"/>
  <c r="S339" i="5"/>
  <c r="S338" i="5"/>
  <c r="S337" i="5"/>
  <c r="S336" i="5"/>
  <c r="S335" i="5"/>
  <c r="S334" i="5"/>
  <c r="S333" i="5"/>
  <c r="S332" i="5"/>
  <c r="S331" i="5"/>
  <c r="S330" i="5"/>
  <c r="S328" i="5"/>
  <c r="S329" i="5"/>
  <c r="S347" i="5"/>
  <c r="S365" i="5"/>
  <c r="S320" i="5"/>
  <c r="S319" i="5"/>
  <c r="S318" i="5"/>
  <c r="S317" i="5"/>
  <c r="S316" i="5"/>
  <c r="S315" i="5"/>
  <c r="S314" i="5"/>
  <c r="S313" i="5"/>
  <c r="S312" i="5"/>
  <c r="S311" i="5"/>
  <c r="S310" i="5"/>
  <c r="S309" i="5"/>
  <c r="S304" i="5"/>
  <c r="S303" i="5"/>
  <c r="S302" i="5"/>
  <c r="S301" i="5"/>
  <c r="S300" i="5"/>
  <c r="S299" i="5"/>
  <c r="S298" i="5"/>
  <c r="S297" i="5"/>
  <c r="S296" i="5"/>
  <c r="S295" i="5"/>
  <c r="S294" i="5"/>
  <c r="S293" i="5"/>
  <c r="S292" i="5"/>
  <c r="S291" i="5"/>
  <c r="S290" i="5"/>
  <c r="S289" i="5"/>
  <c r="S288" i="5"/>
  <c r="S286" i="5"/>
  <c r="S282" i="5"/>
  <c r="S281" i="5"/>
  <c r="S280" i="5"/>
  <c r="S279" i="5"/>
  <c r="S278" i="5"/>
  <c r="S277" i="5"/>
  <c r="S276" i="5"/>
  <c r="S275" i="5"/>
  <c r="S274" i="5"/>
  <c r="S273" i="5"/>
  <c r="S272" i="5"/>
  <c r="S271" i="5"/>
  <c r="S270" i="5"/>
  <c r="S269" i="5"/>
  <c r="S268" i="5"/>
  <c r="S267" i="5"/>
  <c r="S266" i="5"/>
  <c r="S265" i="5"/>
  <c r="S264" i="5"/>
  <c r="S263" i="5"/>
  <c r="S261" i="5"/>
  <c r="S260" i="5"/>
  <c r="S259" i="5"/>
  <c r="S258" i="5"/>
  <c r="S257" i="5"/>
  <c r="S256" i="5"/>
  <c r="S255" i="5"/>
  <c r="S254" i="5"/>
  <c r="S283" i="5"/>
  <c r="S250" i="5"/>
  <c r="S249" i="5"/>
  <c r="S248" i="5"/>
  <c r="S247" i="5"/>
  <c r="S246" i="5"/>
  <c r="S245" i="5"/>
  <c r="S244" i="5"/>
  <c r="S243" i="5"/>
  <c r="S242" i="5"/>
  <c r="S241" i="5"/>
  <c r="S240" i="5"/>
  <c r="S239" i="5"/>
  <c r="S238" i="5"/>
  <c r="S237" i="5"/>
  <c r="S236" i="5"/>
  <c r="S235" i="5"/>
  <c r="S234" i="5"/>
  <c r="S233" i="5"/>
  <c r="S232" i="5"/>
  <c r="S231" i="5"/>
  <c r="S225" i="5"/>
  <c r="S224" i="5"/>
  <c r="S223" i="5"/>
  <c r="S222" i="5"/>
  <c r="S221" i="5"/>
  <c r="S220" i="5"/>
  <c r="S219" i="5"/>
  <c r="S218" i="5"/>
  <c r="S217" i="5"/>
  <c r="S216" i="5"/>
  <c r="S215" i="5"/>
  <c r="S214" i="5"/>
  <c r="S213" i="5"/>
  <c r="S212" i="5"/>
  <c r="S211" i="5"/>
  <c r="S210" i="5"/>
  <c r="S209" i="5"/>
  <c r="S208" i="5"/>
  <c r="S207" i="5"/>
  <c r="S206" i="5"/>
  <c r="S205" i="5"/>
  <c r="S200" i="5"/>
  <c r="S199" i="5"/>
  <c r="S198" i="5"/>
  <c r="S197" i="5"/>
  <c r="S196" i="5"/>
  <c r="S195" i="5"/>
  <c r="S194" i="5"/>
  <c r="S193" i="5"/>
  <c r="S192" i="5"/>
  <c r="S191" i="5"/>
  <c r="S190" i="5"/>
  <c r="S201" i="5"/>
  <c r="S185" i="5"/>
  <c r="S184" i="5"/>
  <c r="S183" i="5"/>
  <c r="S182" i="5"/>
  <c r="S181" i="5"/>
  <c r="S180" i="5"/>
  <c r="S179" i="5"/>
  <c r="S178" i="5"/>
  <c r="S177" i="5"/>
  <c r="S176" i="5"/>
  <c r="S175" i="5"/>
  <c r="S174" i="5"/>
  <c r="S173" i="5"/>
  <c r="S172" i="5"/>
  <c r="S186" i="5"/>
  <c r="S168" i="5"/>
  <c r="S167" i="5"/>
  <c r="S166" i="5"/>
  <c r="S165" i="5"/>
  <c r="S164" i="5"/>
  <c r="S163" i="5"/>
  <c r="S162" i="5"/>
  <c r="S161" i="5"/>
  <c r="S160" i="5"/>
  <c r="S159" i="5"/>
  <c r="S158" i="5"/>
  <c r="S157" i="5"/>
  <c r="S156" i="5"/>
  <c r="S150" i="5"/>
  <c r="S149" i="5"/>
  <c r="S148" i="5"/>
  <c r="S147" i="5"/>
  <c r="S146" i="5"/>
  <c r="S145" i="5"/>
  <c r="S144" i="5"/>
  <c r="S143" i="5"/>
  <c r="S142" i="5"/>
  <c r="S141" i="5"/>
  <c r="S140" i="5"/>
  <c r="S139" i="5"/>
  <c r="S138" i="5"/>
  <c r="S137" i="5"/>
  <c r="S124" i="5"/>
  <c r="S123" i="5"/>
  <c r="S122" i="5"/>
  <c r="S121" i="5"/>
  <c r="S120" i="5"/>
  <c r="S119" i="5"/>
  <c r="S118" i="5"/>
  <c r="S117" i="5"/>
  <c r="S116" i="5"/>
  <c r="S115" i="5"/>
  <c r="S114" i="5"/>
  <c r="S113" i="5"/>
  <c r="S112" i="5"/>
  <c r="S111" i="5"/>
  <c r="S109" i="5"/>
  <c r="S108" i="5"/>
  <c r="S107" i="5"/>
  <c r="S106" i="5"/>
  <c r="S105" i="5"/>
  <c r="S104" i="5"/>
  <c r="S103" i="5"/>
  <c r="S97" i="5"/>
  <c r="S96" i="5"/>
  <c r="S95" i="5"/>
  <c r="S94" i="5"/>
  <c r="S93" i="5"/>
  <c r="S92" i="5"/>
  <c r="S91" i="5"/>
  <c r="S90" i="5"/>
  <c r="S89" i="5"/>
  <c r="S88" i="5"/>
  <c r="S87" i="5"/>
  <c r="S86" i="5"/>
  <c r="S85" i="5"/>
  <c r="S84" i="5"/>
  <c r="S82" i="5"/>
  <c r="S81" i="5"/>
  <c r="S80" i="5"/>
  <c r="S79" i="5"/>
  <c r="S78" i="5"/>
  <c r="S77" i="5"/>
  <c r="S67" i="5"/>
  <c r="S66" i="5"/>
  <c r="S62" i="5"/>
  <c r="S61" i="5"/>
  <c r="S60" i="5"/>
  <c r="S43" i="5"/>
  <c r="S41" i="5"/>
  <c r="S30" i="5"/>
  <c r="S29" i="5"/>
  <c r="S18" i="5"/>
  <c r="S17" i="5"/>
  <c r="R63" i="5"/>
  <c r="R19" i="5"/>
  <c r="R31" i="5"/>
  <c r="R68" i="5"/>
  <c r="R125" i="5"/>
  <c r="R151" i="5"/>
  <c r="R169" i="5"/>
  <c r="R186" i="5"/>
  <c r="R201" i="5"/>
  <c r="R226" i="5"/>
  <c r="R251" i="5"/>
  <c r="R283" i="5"/>
  <c r="R305" i="5"/>
  <c r="R321" i="5"/>
  <c r="R324" i="5"/>
  <c r="R347" i="5"/>
  <c r="R362" i="5"/>
  <c r="R376" i="5"/>
  <c r="R387" i="5"/>
  <c r="R394" i="5"/>
  <c r="Q63" i="5"/>
  <c r="Q19" i="5"/>
  <c r="Q31" i="5"/>
  <c r="Q125" i="5"/>
  <c r="Q151" i="5"/>
  <c r="Q152" i="5"/>
  <c r="Q169" i="5"/>
  <c r="Q186" i="5"/>
  <c r="Q201" i="5"/>
  <c r="Q226" i="5"/>
  <c r="Q251" i="5"/>
  <c r="Q283" i="5"/>
  <c r="Q305" i="5"/>
  <c r="Q321" i="5"/>
  <c r="Q347" i="5"/>
  <c r="Q362" i="5"/>
  <c r="Q376" i="5"/>
  <c r="Q387" i="5"/>
  <c r="Q394" i="5"/>
  <c r="P63" i="5"/>
  <c r="P19" i="5"/>
  <c r="P31" i="5"/>
  <c r="P125" i="5"/>
  <c r="P151" i="5"/>
  <c r="P169" i="5"/>
  <c r="P186" i="5"/>
  <c r="P201" i="5"/>
  <c r="P226" i="5"/>
  <c r="P251" i="5"/>
  <c r="P283" i="5"/>
  <c r="P305" i="5"/>
  <c r="P321" i="5"/>
  <c r="P347" i="5"/>
  <c r="P362" i="5"/>
  <c r="P365" i="5"/>
  <c r="P376" i="5"/>
  <c r="P387" i="5"/>
  <c r="P394" i="5"/>
  <c r="O63" i="5"/>
  <c r="O19" i="5"/>
  <c r="O31" i="5"/>
  <c r="O68" i="5"/>
  <c r="O125" i="5"/>
  <c r="O151" i="5"/>
  <c r="O169" i="5"/>
  <c r="O186" i="5"/>
  <c r="O201" i="5"/>
  <c r="O226" i="5"/>
  <c r="O251" i="5"/>
  <c r="O283" i="5"/>
  <c r="O305" i="5"/>
  <c r="O321" i="5"/>
  <c r="O347" i="5"/>
  <c r="O362" i="5"/>
  <c r="O376" i="5"/>
  <c r="O387" i="5"/>
  <c r="O394" i="5"/>
  <c r="N63" i="5"/>
  <c r="N19" i="5"/>
  <c r="N31" i="5"/>
  <c r="N68" i="5"/>
  <c r="N125" i="5"/>
  <c r="N151" i="5"/>
  <c r="N152" i="5"/>
  <c r="N169" i="5"/>
  <c r="N186" i="5"/>
  <c r="N201" i="5"/>
  <c r="N226" i="5"/>
  <c r="N251" i="5"/>
  <c r="N283" i="5"/>
  <c r="N305" i="5"/>
  <c r="N321" i="5"/>
  <c r="N347" i="5"/>
  <c r="N362" i="5"/>
  <c r="N376" i="5"/>
  <c r="N387" i="5"/>
  <c r="N394" i="5"/>
  <c r="M63" i="5"/>
  <c r="M19" i="5"/>
  <c r="M31" i="5"/>
  <c r="M125" i="5"/>
  <c r="M151" i="5"/>
  <c r="M169" i="5"/>
  <c r="M186" i="5"/>
  <c r="M201" i="5"/>
  <c r="M226" i="5"/>
  <c r="M251" i="5"/>
  <c r="M283" i="5"/>
  <c r="M305" i="5"/>
  <c r="M321" i="5"/>
  <c r="M347" i="5"/>
  <c r="M362" i="5"/>
  <c r="M365" i="5"/>
  <c r="M376" i="5"/>
  <c r="M387" i="5"/>
  <c r="M394" i="5"/>
  <c r="L63" i="5"/>
  <c r="L19" i="5"/>
  <c r="L31" i="5"/>
  <c r="L125" i="5"/>
  <c r="L151" i="5"/>
  <c r="L169" i="5"/>
  <c r="L186" i="5"/>
  <c r="L201" i="5"/>
  <c r="L226" i="5"/>
  <c r="L251" i="5"/>
  <c r="L283" i="5"/>
  <c r="L305" i="5"/>
  <c r="L321" i="5"/>
  <c r="L324" i="5"/>
  <c r="L347" i="5"/>
  <c r="L362" i="5"/>
  <c r="L365" i="5"/>
  <c r="L376" i="5"/>
  <c r="L387" i="5"/>
  <c r="L394" i="5"/>
  <c r="K186" i="5"/>
  <c r="H19" i="5"/>
  <c r="H31" i="5"/>
  <c r="H63" i="5"/>
  <c r="H98" i="5"/>
  <c r="H125" i="5"/>
  <c r="H151" i="5"/>
  <c r="H169" i="5"/>
  <c r="H186" i="5"/>
  <c r="H201" i="5"/>
  <c r="H226" i="5"/>
  <c r="H251" i="5"/>
  <c r="H283" i="5"/>
  <c r="H305" i="5"/>
  <c r="H321" i="5"/>
  <c r="H347" i="5"/>
  <c r="H362" i="5"/>
  <c r="H365" i="5"/>
  <c r="H376" i="5"/>
  <c r="H387" i="5"/>
  <c r="H394" i="5"/>
  <c r="I19" i="5"/>
  <c r="I31" i="5"/>
  <c r="I63" i="5"/>
  <c r="I98" i="5"/>
  <c r="I125" i="5"/>
  <c r="I151" i="5"/>
  <c r="I152" i="5"/>
  <c r="I169" i="5"/>
  <c r="I186" i="5"/>
  <c r="I201" i="5"/>
  <c r="I226" i="5"/>
  <c r="I251" i="5"/>
  <c r="I283" i="5"/>
  <c r="I305" i="5"/>
  <c r="I321" i="5"/>
  <c r="I347" i="5"/>
  <c r="I362" i="5"/>
  <c r="I365" i="5"/>
  <c r="I376" i="5"/>
  <c r="I387" i="5"/>
  <c r="I394" i="5"/>
  <c r="J19" i="5"/>
  <c r="J31" i="5"/>
  <c r="J63" i="5"/>
  <c r="J125" i="5"/>
  <c r="J151" i="5"/>
  <c r="J169" i="5"/>
  <c r="J186" i="5"/>
  <c r="J201" i="5"/>
  <c r="J226" i="5"/>
  <c r="J251" i="5"/>
  <c r="J283" i="5"/>
  <c r="J305" i="5"/>
  <c r="J321" i="5"/>
  <c r="J347" i="5"/>
  <c r="J362" i="5"/>
  <c r="J365" i="5"/>
  <c r="J376" i="5"/>
  <c r="J387" i="5"/>
  <c r="J394" i="5"/>
  <c r="K169" i="5"/>
  <c r="K201" i="5"/>
  <c r="K226" i="5"/>
  <c r="K251" i="5"/>
  <c r="K283" i="5"/>
  <c r="K305" i="5"/>
  <c r="K321" i="5"/>
  <c r="K324" i="5"/>
  <c r="K125" i="5"/>
  <c r="K151" i="5"/>
  <c r="K152" i="5"/>
  <c r="K347" i="5"/>
  <c r="K362" i="5"/>
  <c r="K376" i="5"/>
  <c r="K387" i="5"/>
  <c r="K19" i="5"/>
  <c r="K31" i="5"/>
  <c r="K63" i="5"/>
  <c r="K394" i="5"/>
  <c r="G63" i="5"/>
  <c r="G31" i="5"/>
  <c r="G19" i="5"/>
  <c r="G68" i="5"/>
  <c r="G98" i="5"/>
  <c r="G125" i="5"/>
  <c r="G151" i="5"/>
  <c r="G169" i="5"/>
  <c r="G186" i="5"/>
  <c r="G201" i="5"/>
  <c r="G226" i="5"/>
  <c r="G251" i="5"/>
  <c r="G283" i="5"/>
  <c r="G305" i="5"/>
  <c r="G321" i="5"/>
  <c r="G347" i="5"/>
  <c r="G362" i="5"/>
  <c r="G365" i="5"/>
  <c r="G376" i="5"/>
  <c r="G387" i="5"/>
  <c r="G394" i="5"/>
  <c r="H100" i="4"/>
  <c r="H127" i="4"/>
  <c r="H153" i="4"/>
  <c r="H154" i="4"/>
  <c r="H171" i="4"/>
  <c r="H188" i="4"/>
  <c r="H204" i="4"/>
  <c r="H229" i="4"/>
  <c r="H254" i="4"/>
  <c r="H286" i="4"/>
  <c r="H308" i="4"/>
  <c r="H324" i="4"/>
  <c r="H327" i="4"/>
  <c r="H350" i="4"/>
  <c r="H365" i="4"/>
  <c r="H379" i="4"/>
  <c r="H390" i="4"/>
  <c r="H397" i="4"/>
  <c r="I100" i="4"/>
  <c r="I127" i="4"/>
  <c r="I153" i="4"/>
  <c r="I171" i="4"/>
  <c r="I188" i="4"/>
  <c r="I204" i="4"/>
  <c r="I229" i="4"/>
  <c r="I254" i="4"/>
  <c r="I286" i="4"/>
  <c r="I308" i="4"/>
  <c r="I324" i="4"/>
  <c r="I350" i="4"/>
  <c r="I365" i="4"/>
  <c r="I368" i="4"/>
  <c r="I379" i="4"/>
  <c r="I390" i="4"/>
  <c r="I397" i="4"/>
  <c r="G65" i="4"/>
  <c r="G33" i="4"/>
  <c r="G21" i="4"/>
  <c r="G100" i="4"/>
  <c r="G127" i="4"/>
  <c r="G153" i="4"/>
  <c r="G171" i="4"/>
  <c r="G188" i="4"/>
  <c r="G204" i="4"/>
  <c r="G229" i="4"/>
  <c r="G254" i="4"/>
  <c r="G286" i="4"/>
  <c r="G308" i="4"/>
  <c r="G324" i="4"/>
  <c r="G350" i="4"/>
  <c r="G365" i="4"/>
  <c r="G379" i="4"/>
  <c r="G390" i="4"/>
  <c r="G397" i="4"/>
  <c r="F23" i="6"/>
  <c r="F31" i="6"/>
  <c r="F43" i="6"/>
  <c r="F49" i="6"/>
  <c r="F11" i="6"/>
  <c r="R365" i="5"/>
  <c r="N324" i="5"/>
  <c r="I154" i="4"/>
  <c r="I327" i="4"/>
  <c r="I392" i="4"/>
  <c r="G324" i="5"/>
  <c r="K365" i="5"/>
  <c r="K389" i="5"/>
  <c r="I324" i="5"/>
  <c r="L152" i="5"/>
  <c r="L389" i="5"/>
  <c r="L68" i="5"/>
  <c r="L398" i="5"/>
  <c r="M324" i="5"/>
  <c r="M152" i="5"/>
  <c r="M389" i="5"/>
  <c r="M68" i="5"/>
  <c r="M398" i="5"/>
  <c r="N365" i="5"/>
  <c r="O152" i="5"/>
  <c r="P324" i="5"/>
  <c r="P152" i="5"/>
  <c r="P389" i="5"/>
  <c r="Q365" i="5"/>
  <c r="S98" i="5"/>
  <c r="S251" i="5"/>
  <c r="K392" i="4"/>
  <c r="G152" i="5"/>
  <c r="F51" i="6"/>
  <c r="H152" i="5"/>
  <c r="H324" i="5"/>
  <c r="H389" i="5"/>
  <c r="H68" i="5"/>
  <c r="H398" i="5"/>
  <c r="O365" i="5"/>
  <c r="O324" i="5"/>
  <c r="P68" i="5"/>
  <c r="P398" i="5"/>
  <c r="Q68" i="5"/>
  <c r="K401" i="4"/>
  <c r="I389" i="5"/>
  <c r="Q324" i="5"/>
  <c r="Q389" i="5"/>
  <c r="Q398" i="5"/>
  <c r="G327" i="10"/>
  <c r="J327" i="4"/>
  <c r="K68" i="5"/>
  <c r="K398" i="5"/>
  <c r="G154" i="4"/>
  <c r="J152" i="5"/>
  <c r="G368" i="4"/>
  <c r="G327" i="4"/>
  <c r="G392" i="4"/>
  <c r="G70" i="4"/>
  <c r="G401" i="4"/>
  <c r="G402" i="4"/>
  <c r="H368" i="4"/>
  <c r="H392" i="4"/>
  <c r="H401" i="4"/>
  <c r="H402" i="4"/>
  <c r="I401" i="4"/>
  <c r="I402" i="4"/>
  <c r="J324" i="5"/>
  <c r="J68" i="5"/>
  <c r="I68" i="5"/>
  <c r="R152" i="5"/>
  <c r="S125" i="5"/>
  <c r="S169" i="5"/>
  <c r="S226" i="5"/>
  <c r="S305" i="5"/>
  <c r="S321" i="5"/>
  <c r="S324" i="5"/>
  <c r="S151" i="5"/>
  <c r="G154" i="10"/>
  <c r="J368" i="4"/>
  <c r="J392" i="4"/>
  <c r="J401" i="4"/>
  <c r="G389" i="5"/>
  <c r="G398" i="5"/>
  <c r="J389" i="5"/>
  <c r="J398" i="5"/>
  <c r="I398" i="5"/>
  <c r="N389" i="5"/>
  <c r="N398" i="5"/>
  <c r="R389" i="5"/>
  <c r="R398" i="5"/>
  <c r="G392" i="10"/>
  <c r="G401" i="10"/>
  <c r="S152" i="5"/>
  <c r="S389" i="5"/>
  <c r="S398" i="5"/>
  <c r="O389" i="5"/>
  <c r="O398" i="5"/>
  <c r="J402" i="4"/>
  <c r="K402" i="4"/>
</calcChain>
</file>

<file path=xl/sharedStrings.xml><?xml version="1.0" encoding="utf-8"?>
<sst xmlns="http://schemas.openxmlformats.org/spreadsheetml/2006/main" count="2553" uniqueCount="556">
  <si>
    <r>
      <t>Energy</t>
    </r>
    <r>
      <rPr>
        <sz val="9"/>
        <rFont val="Arial"/>
        <family val="2"/>
      </rPr>
      <t xml:space="preserve"> (Gas, Electricity, etc.)</t>
    </r>
  </si>
  <si>
    <t>Board of Directors</t>
  </si>
  <si>
    <t xml:space="preserve"> SERVICE EXPENDITURES</t>
  </si>
  <si>
    <t>OVER EXPENDITURES AND OTHER USES</t>
  </si>
  <si>
    <r>
      <t xml:space="preserve">Other Uses of Funds </t>
    </r>
    <r>
      <rPr>
        <i/>
        <sz val="9"/>
        <rFont val="Arial"/>
        <family val="2"/>
      </rPr>
      <t>(provide detail)</t>
    </r>
  </si>
  <si>
    <r>
      <t xml:space="preserve">Travel/Mileage </t>
    </r>
    <r>
      <rPr>
        <sz val="9"/>
        <rFont val="Arial"/>
        <family val="2"/>
      </rPr>
      <t>(Board of Directors)</t>
    </r>
  </si>
  <si>
    <r>
      <t xml:space="preserve">Materials and Supplies </t>
    </r>
    <r>
      <rPr>
        <sz val="9"/>
        <rFont val="Arial"/>
        <family val="2"/>
      </rPr>
      <t>(e.g., printed report cards)</t>
    </r>
  </si>
  <si>
    <t>TOTAL B. Special Education Programs</t>
  </si>
  <si>
    <r>
      <t xml:space="preserve">Guidance Services </t>
    </r>
    <r>
      <rPr>
        <sz val="8"/>
        <rFont val="Arial"/>
        <family val="2"/>
      </rPr>
      <t>(Guidance Counselor)</t>
    </r>
  </si>
  <si>
    <t>Planning, Research, Development, and Evaluation Svcs.</t>
  </si>
  <si>
    <r>
      <t xml:space="preserve">Louisiana laws contain requirements for school district accounting.  By law, the </t>
    </r>
    <r>
      <rPr>
        <b/>
        <sz val="11"/>
        <rFont val="Arial"/>
        <family val="2"/>
      </rPr>
      <t>L</t>
    </r>
    <r>
      <rPr>
        <sz val="11"/>
        <rFont val="Arial"/>
        <family val="2"/>
      </rPr>
      <t>ouisiana</t>
    </r>
    <r>
      <rPr>
        <b/>
        <sz val="11"/>
        <rFont val="Arial"/>
        <family val="2"/>
      </rPr>
      <t xml:space="preserve"> A</t>
    </r>
    <r>
      <rPr>
        <sz val="11"/>
        <rFont val="Arial"/>
        <family val="2"/>
      </rPr>
      <t xml:space="preserve">ccounting and </t>
    </r>
    <r>
      <rPr>
        <b/>
        <sz val="11"/>
        <rFont val="Arial"/>
        <family val="2"/>
      </rPr>
      <t>U</t>
    </r>
    <r>
      <rPr>
        <sz val="11"/>
        <rFont val="Arial"/>
        <family val="2"/>
      </rPr>
      <t xml:space="preserve">niform </t>
    </r>
    <r>
      <rPr>
        <b/>
        <sz val="11"/>
        <rFont val="Arial"/>
        <family val="2"/>
      </rPr>
      <t>G</t>
    </r>
    <r>
      <rPr>
        <sz val="11"/>
        <rFont val="Arial"/>
        <family val="2"/>
      </rPr>
      <t xml:space="preserve">overnmental </t>
    </r>
    <r>
      <rPr>
        <b/>
        <sz val="11"/>
        <rFont val="Arial"/>
        <family val="2"/>
      </rPr>
      <t>H</t>
    </r>
    <r>
      <rPr>
        <sz val="11"/>
        <rFont val="Arial"/>
        <family val="2"/>
      </rPr>
      <t>andbook (LAUGH) (Bulletin 1929) is the required accounting manual for local educational agencies.  This document can be accessed on the Department of Education's website at www.louisianaschools.net.</t>
    </r>
  </si>
  <si>
    <t>24XX</t>
  </si>
  <si>
    <t>31XX</t>
  </si>
  <si>
    <t>33XX</t>
  </si>
  <si>
    <t>B.  Special Education Programs (Including Summer &amp; Preschool)</t>
  </si>
  <si>
    <t xml:space="preserve">       &amp; Gifted/Talented Programs</t>
  </si>
  <si>
    <t>I.  INSTRUCTION</t>
  </si>
  <si>
    <t>(additional function codes may need to be added)</t>
  </si>
  <si>
    <t>IV.  FACILITY ACQUISITION AND CONSTRUCTION SVCS.</t>
  </si>
  <si>
    <t>C.  TOTAL Other Instructional Programs</t>
  </si>
  <si>
    <t>311X</t>
  </si>
  <si>
    <t>Restricted Grants-In-Aid From Federal Gov't Thru State</t>
  </si>
  <si>
    <t>II.  SUPPORT SERVICES PROGRAMS</t>
  </si>
  <si>
    <t>A.  Pupil Support Services</t>
  </si>
  <si>
    <t>TOTAL I.  INSTRUCTION</t>
  </si>
  <si>
    <t>B.  Instructional Staff Services</t>
  </si>
  <si>
    <t>D.  School Administration</t>
  </si>
  <si>
    <t>E.  Business Services</t>
  </si>
  <si>
    <t>F.  Operation and Maintenance of Plant Services</t>
  </si>
  <si>
    <t>G.  Student Transportation Services</t>
  </si>
  <si>
    <t>H.  Central Services</t>
  </si>
  <si>
    <t>Debt Service</t>
  </si>
  <si>
    <t>REVENUES FROM LOCAL SOURCES</t>
  </si>
  <si>
    <t xml:space="preserve"> </t>
  </si>
  <si>
    <t>1200</t>
  </si>
  <si>
    <t>Earnings on Investments</t>
  </si>
  <si>
    <t>Food Service</t>
  </si>
  <si>
    <t>Community Service Activities</t>
  </si>
  <si>
    <t>Other Revenue From Local Sources</t>
  </si>
  <si>
    <t>Contributions and Donations</t>
  </si>
  <si>
    <t>1920</t>
  </si>
  <si>
    <t>Books and Supplies Sold</t>
  </si>
  <si>
    <t>1940</t>
  </si>
  <si>
    <t>REVENUE FROM STATE SOURCES</t>
  </si>
  <si>
    <t>Unrestricted Grants-In-Aid</t>
  </si>
  <si>
    <t>Other Unrestricted Revenues</t>
  </si>
  <si>
    <t>3190</t>
  </si>
  <si>
    <t>Restricted Grants-In-Aid</t>
  </si>
  <si>
    <t>Education Support Fund (8g)</t>
  </si>
  <si>
    <t>3220</t>
  </si>
  <si>
    <t>PIP</t>
  </si>
  <si>
    <t>3230</t>
  </si>
  <si>
    <t>Other Restricted Revenues</t>
  </si>
  <si>
    <t>3290</t>
  </si>
  <si>
    <t>REVENUE FROM FEDERAL SOURCES</t>
  </si>
  <si>
    <t>Impact Aid Fund</t>
  </si>
  <si>
    <t>4110</t>
  </si>
  <si>
    <t>Other Restricted Grants - Direct</t>
  </si>
  <si>
    <t>4390</t>
  </si>
  <si>
    <t>School Food Service</t>
  </si>
  <si>
    <t>4515</t>
  </si>
  <si>
    <t>Special Education</t>
  </si>
  <si>
    <t>4531</t>
  </si>
  <si>
    <t>4532</t>
  </si>
  <si>
    <t>4535</t>
  </si>
  <si>
    <t>4541</t>
  </si>
  <si>
    <t>4542</t>
  </si>
  <si>
    <t>4543</t>
  </si>
  <si>
    <t>4544</t>
  </si>
  <si>
    <t>4545</t>
  </si>
  <si>
    <t>4546</t>
  </si>
  <si>
    <t>Other Restricted Grants through State</t>
  </si>
  <si>
    <t>4590</t>
  </si>
  <si>
    <t>Revenue For/On Behalf of the LEA</t>
  </si>
  <si>
    <t>Value of USDA Commodities</t>
  </si>
  <si>
    <t>4920</t>
  </si>
  <si>
    <t>Salaries</t>
  </si>
  <si>
    <t>112</t>
  </si>
  <si>
    <t>Aides</t>
  </si>
  <si>
    <t>115</t>
  </si>
  <si>
    <t>1100</t>
  </si>
  <si>
    <t>Substitute Teachers and Aides</t>
  </si>
  <si>
    <t>123</t>
  </si>
  <si>
    <t>Purchased Professional and Technical Services</t>
  </si>
  <si>
    <t>300</t>
  </si>
  <si>
    <t>Repairs and Maintenance Services</t>
  </si>
  <si>
    <t>430</t>
  </si>
  <si>
    <t>Travel Expense Reimbursement</t>
  </si>
  <si>
    <t>582</t>
  </si>
  <si>
    <t xml:space="preserve">Instructional Supplies </t>
  </si>
  <si>
    <t>610</t>
  </si>
  <si>
    <t>Textbooks/Workbooks</t>
  </si>
  <si>
    <t>642</t>
  </si>
  <si>
    <t>Equipment</t>
  </si>
  <si>
    <t>730</t>
  </si>
  <si>
    <t>Miscellaneous Expenditures</t>
  </si>
  <si>
    <t>890</t>
  </si>
  <si>
    <t>210</t>
  </si>
  <si>
    <t>Social Security</t>
  </si>
  <si>
    <t>220</t>
  </si>
  <si>
    <t>Medicare</t>
  </si>
  <si>
    <t>225</t>
  </si>
  <si>
    <t>Unemployment Compensation</t>
  </si>
  <si>
    <t>250</t>
  </si>
  <si>
    <t>Workmen's Compensation</t>
  </si>
  <si>
    <t>260</t>
  </si>
  <si>
    <t>TOTAL A. Regular Program Expenditures</t>
  </si>
  <si>
    <t>1210</t>
  </si>
  <si>
    <t>113</t>
  </si>
  <si>
    <t>Instructional Supplies</t>
  </si>
  <si>
    <t>Materials and Supplies</t>
  </si>
  <si>
    <t>Rental of Equipment and Vehicles</t>
  </si>
  <si>
    <t>442</t>
  </si>
  <si>
    <t>Fleet Insurance</t>
  </si>
  <si>
    <t>523</t>
  </si>
  <si>
    <t>626</t>
  </si>
  <si>
    <t>810</t>
  </si>
  <si>
    <t>Teachers</t>
  </si>
  <si>
    <t>111</t>
  </si>
  <si>
    <t>114</t>
  </si>
  <si>
    <t>Pupil Assessment and Appraisal Services</t>
  </si>
  <si>
    <t>TOTAL A. Pupil Support Services</t>
  </si>
  <si>
    <t>Instruction and Curriculum Development Services</t>
  </si>
  <si>
    <t>Instructional Staff Training Services</t>
  </si>
  <si>
    <t>School Library Services</t>
  </si>
  <si>
    <t>TOTAL B. Instructional Staff Services</t>
  </si>
  <si>
    <t>2311</t>
  </si>
  <si>
    <t>Legal Services</t>
  </si>
  <si>
    <t>Audit Services</t>
  </si>
  <si>
    <t>333</t>
  </si>
  <si>
    <t>Insurance (Other than Emp. Benefits)</t>
  </si>
  <si>
    <t>Advertising</t>
  </si>
  <si>
    <t>540</t>
  </si>
  <si>
    <t>Dues and Fees</t>
  </si>
  <si>
    <t>Judgements</t>
  </si>
  <si>
    <t>820</t>
  </si>
  <si>
    <t>TOTAL C. General Administration</t>
  </si>
  <si>
    <t>Principals</t>
  </si>
  <si>
    <t>2410</t>
  </si>
  <si>
    <t>Assistant Principals</t>
  </si>
  <si>
    <t>2420</t>
  </si>
  <si>
    <t>Clerical/Secretarial</t>
  </si>
  <si>
    <t>2400</t>
  </si>
  <si>
    <t>Telephone and Postage</t>
  </si>
  <si>
    <t>530</t>
  </si>
  <si>
    <t xml:space="preserve">TOTAL D. School Administration </t>
  </si>
  <si>
    <t xml:space="preserve">Fiscal Services (Internal Auditing, Budgeting, </t>
  </si>
  <si>
    <t>Payroll, Financial and Property Accounting, etc.)</t>
  </si>
  <si>
    <t>2510</t>
  </si>
  <si>
    <t>340</t>
  </si>
  <si>
    <t>Postage</t>
  </si>
  <si>
    <t>Interest (short-term loans)</t>
  </si>
  <si>
    <t>830</t>
  </si>
  <si>
    <t>2513</t>
  </si>
  <si>
    <t>TOTAL E. Business Services</t>
  </si>
  <si>
    <t>2620</t>
  </si>
  <si>
    <t>2600</t>
  </si>
  <si>
    <t>2640</t>
  </si>
  <si>
    <t>Rental of Land</t>
  </si>
  <si>
    <t>441</t>
  </si>
  <si>
    <t>Gasoline</t>
  </si>
  <si>
    <t>Operating Buildings</t>
  </si>
  <si>
    <t>Building Rental/Lease</t>
  </si>
  <si>
    <t>Water/Sewage</t>
  </si>
  <si>
    <t>411</t>
  </si>
  <si>
    <t>Disposal Services</t>
  </si>
  <si>
    <t>421</t>
  </si>
  <si>
    <t>Custodial Services</t>
  </si>
  <si>
    <t>423</t>
  </si>
  <si>
    <t>Property Insurance</t>
  </si>
  <si>
    <t>522</t>
  </si>
  <si>
    <t>Telephone</t>
  </si>
  <si>
    <t>Care and Upkeep of Grounds</t>
  </si>
  <si>
    <t>Care and Upkeep of Equipment</t>
  </si>
  <si>
    <t>Vehicle Operation and Maintenance</t>
  </si>
  <si>
    <t>TOTAL F. Operation &amp; Maintenance of Plant Services</t>
  </si>
  <si>
    <t>Regular Transportation Services</t>
  </si>
  <si>
    <t>2721</t>
  </si>
  <si>
    <t>Payments in Lieu of Transportation</t>
  </si>
  <si>
    <t>519</t>
  </si>
  <si>
    <t>Gasoline/Diesel</t>
  </si>
  <si>
    <t>TOTAL G. Student Transportation Services</t>
  </si>
  <si>
    <t xml:space="preserve">  </t>
  </si>
  <si>
    <t>2830</t>
  </si>
  <si>
    <t>Fingerprinting and Background Check</t>
  </si>
  <si>
    <t>339</t>
  </si>
  <si>
    <t>Data Processing Services</t>
  </si>
  <si>
    <t>Technical Services</t>
  </si>
  <si>
    <t>TOTAL H. Central Services</t>
  </si>
  <si>
    <t>III. OPERATION OF NON-INSTRUCTIONAL SERVICES</t>
  </si>
  <si>
    <t xml:space="preserve">Salaries </t>
  </si>
  <si>
    <t>3100</t>
  </si>
  <si>
    <t>Food Service Management</t>
  </si>
  <si>
    <t>570</t>
  </si>
  <si>
    <t>620</t>
  </si>
  <si>
    <t>TOTAL A. Food Service Operations</t>
  </si>
  <si>
    <t>3300</t>
  </si>
  <si>
    <t>SERVICE EXPENDITURES</t>
  </si>
  <si>
    <t>4500</t>
  </si>
  <si>
    <t>Architect/Engineering Services</t>
  </si>
  <si>
    <t>334</t>
  </si>
  <si>
    <t>4300</t>
  </si>
  <si>
    <t>Construction Services</t>
  </si>
  <si>
    <t>450</t>
  </si>
  <si>
    <t>Building Improvements - Renovate/Remodel</t>
  </si>
  <si>
    <t>4600</t>
  </si>
  <si>
    <t>4000</t>
  </si>
  <si>
    <t>TOTAL IV. FACILITY ACQUISITION AND CONSTRUCTION</t>
  </si>
  <si>
    <t>5100</t>
  </si>
  <si>
    <t>Banking Services</t>
  </si>
  <si>
    <t>Interest (long-term)</t>
  </si>
  <si>
    <t>Redemption of Principal</t>
  </si>
  <si>
    <t>910</t>
  </si>
  <si>
    <t>TOTAL I - V.  ALL EXPENDITURES</t>
  </si>
  <si>
    <t>TOTAL VI.  OTHER FINANCING SOURCES (USES)</t>
  </si>
  <si>
    <t>FUND BALANCES</t>
  </si>
  <si>
    <t>15XX</t>
  </si>
  <si>
    <t>16XX</t>
  </si>
  <si>
    <t>199X</t>
  </si>
  <si>
    <t>Employer's Contribution to Retirement</t>
  </si>
  <si>
    <t>23X</t>
  </si>
  <si>
    <t>Varies</t>
  </si>
  <si>
    <t>11X</t>
  </si>
  <si>
    <t>52X</t>
  </si>
  <si>
    <t>58X</t>
  </si>
  <si>
    <t>23XX</t>
  </si>
  <si>
    <t>28XX</t>
  </si>
  <si>
    <t>Travel Reimbursement &amp; Mileage</t>
  </si>
  <si>
    <t>Food (Purchased &amp; Commodities)</t>
  </si>
  <si>
    <t>63X</t>
  </si>
  <si>
    <t>TOTAL II.  SUPPORT SERVICE EXPENDITURES</t>
  </si>
  <si>
    <t>TOTAL III.  OPERATION OF NON-INSTRUCTIONAL</t>
  </si>
  <si>
    <t>Object Code</t>
  </si>
  <si>
    <t>Function Code</t>
  </si>
  <si>
    <t>Year 1</t>
  </si>
  <si>
    <t>Year 2</t>
  </si>
  <si>
    <t>Year 3</t>
  </si>
  <si>
    <t>Year 4</t>
  </si>
  <si>
    <t>Year 5</t>
  </si>
  <si>
    <t>Description</t>
  </si>
  <si>
    <t>21XX</t>
  </si>
  <si>
    <t>Salaries of Directors, Supervisors, Coordinators, ect.</t>
  </si>
  <si>
    <t>Furniture and Equipment</t>
  </si>
  <si>
    <t>73X</t>
  </si>
  <si>
    <t>25XX</t>
  </si>
  <si>
    <t>26XX</t>
  </si>
  <si>
    <t>3XX</t>
  </si>
  <si>
    <t>27XX</t>
  </si>
  <si>
    <t>Natural Gas and Electricity</t>
  </si>
  <si>
    <t>62X</t>
  </si>
  <si>
    <t>Purchased Property Services</t>
  </si>
  <si>
    <t>4XX</t>
  </si>
  <si>
    <t>5XXX</t>
  </si>
  <si>
    <t>52XX</t>
  </si>
  <si>
    <t>EXCESS (DEFICIENCY) OF REVENUE AND OTHER SOURCES</t>
  </si>
  <si>
    <t>Other Miscellaneous Revenues</t>
  </si>
  <si>
    <t>Unrestricted Grants-In-Aid Direct From the Federal Gov't</t>
  </si>
  <si>
    <t>Restricted Grants-In-Aid Direct From the Federal Gov't</t>
  </si>
  <si>
    <t xml:space="preserve">    IDEA - Part B</t>
  </si>
  <si>
    <t xml:space="preserve">    IDEA - Preschool</t>
  </si>
  <si>
    <t xml:space="preserve">    Other Special Education Programs</t>
  </si>
  <si>
    <t xml:space="preserve">    Title I</t>
  </si>
  <si>
    <t xml:space="preserve">    Title I, Part C - Migrant</t>
  </si>
  <si>
    <t xml:space="preserve">    Title IV - Safe and Drug Free Schools / Comm.</t>
  </si>
  <si>
    <t xml:space="preserve">    Other IASA Programs</t>
  </si>
  <si>
    <t>22XX</t>
  </si>
  <si>
    <t>Travel &amp; Mileage Expense Reimbursement</t>
  </si>
  <si>
    <t>REVENUES:</t>
  </si>
  <si>
    <t xml:space="preserve"> TOTAL REVENUE FROM FEDERAL SOURCES</t>
  </si>
  <si>
    <t>TOTAL REVENUES FROM LOCAL SOURCES</t>
  </si>
  <si>
    <t>TOTAL REVENUE FROM STATE SOURCES</t>
  </si>
  <si>
    <t>TOTAL REVENUES AND OTHER SOURCES OF FUNDS</t>
  </si>
  <si>
    <t>School Name:  _______________________________________</t>
  </si>
  <si>
    <t>EXPENDITURES:</t>
  </si>
  <si>
    <t>A.  Regular Programs - Elementary/Secondary</t>
  </si>
  <si>
    <t xml:space="preserve">      Programs, Adult Ed., and Other Programs)</t>
  </si>
  <si>
    <t xml:space="preserve">C.  Other Instructional Programs (Vocational Ed., Special </t>
  </si>
  <si>
    <t>1XXX</t>
  </si>
  <si>
    <t>No Child Left Behind (NCLB)</t>
  </si>
  <si>
    <t xml:space="preserve">    Title V - Innovative Education Programs</t>
  </si>
  <si>
    <t xml:space="preserve">    Title II - Teacher &amp; Principal Training/Recuiting</t>
  </si>
  <si>
    <r>
      <t xml:space="preserve">Child Welfare and Attendance Svcs. </t>
    </r>
    <r>
      <rPr>
        <sz val="8"/>
        <rFont val="Arial"/>
        <family val="2"/>
      </rPr>
      <t>(Supervisor/Secretarial)</t>
    </r>
  </si>
  <si>
    <r>
      <t>Health Services</t>
    </r>
    <r>
      <rPr>
        <sz val="8"/>
        <rFont val="Arial"/>
        <family val="2"/>
      </rPr>
      <t xml:space="preserve"> (Nurse)</t>
    </r>
  </si>
  <si>
    <t>(additional object codes may need to be added)</t>
  </si>
  <si>
    <r>
      <t xml:space="preserve">Other Sources of Funds </t>
    </r>
    <r>
      <rPr>
        <i/>
        <sz val="9"/>
        <rFont val="Arial"/>
        <family val="2"/>
      </rPr>
      <t>(Provide Detail)</t>
    </r>
  </si>
  <si>
    <t>Therapists (OT,PT,Speech,etc.)</t>
  </si>
  <si>
    <t>V. DEBT SERVICE</t>
  </si>
  <si>
    <t>TOTAL V.  DEBT SERVICE</t>
  </si>
  <si>
    <t>A.  Food Service Operations</t>
  </si>
  <si>
    <t>B.  Community Service Operations (e.g. 4-H programs)</t>
  </si>
  <si>
    <t>TOTAL B. Community Service Operations</t>
  </si>
  <si>
    <t>VI.  OTHER FINANCING USES</t>
  </si>
  <si>
    <t>C.  General Administration</t>
  </si>
  <si>
    <t>Local Per Pupil Aid</t>
  </si>
  <si>
    <t>State Per Pupil Aid</t>
  </si>
  <si>
    <t>Group Health Insurance</t>
  </si>
  <si>
    <r>
      <t xml:space="preserve">Dues and Fees </t>
    </r>
    <r>
      <rPr>
        <sz val="9"/>
        <rFont val="Arial"/>
        <family val="2"/>
      </rPr>
      <t>(Southern Association, etc.)</t>
    </r>
  </si>
  <si>
    <r>
      <t>Technical Services (</t>
    </r>
    <r>
      <rPr>
        <sz val="9"/>
        <rFont val="Arial"/>
        <family val="2"/>
      </rPr>
      <t>Bank Charges)</t>
    </r>
  </si>
  <si>
    <r>
      <t xml:space="preserve">Salaries </t>
    </r>
    <r>
      <rPr>
        <sz val="8"/>
        <rFont val="Arial"/>
        <family val="2"/>
      </rPr>
      <t>(Custodians, Security, Crossing Patrol)</t>
    </r>
  </si>
  <si>
    <r>
      <t xml:space="preserve">Salaries </t>
    </r>
    <r>
      <rPr>
        <sz val="9"/>
        <rFont val="Arial"/>
        <family val="2"/>
      </rPr>
      <t>(Bus Driver &amp; Substitutes)</t>
    </r>
  </si>
  <si>
    <t>July</t>
  </si>
  <si>
    <t>August</t>
  </si>
  <si>
    <t>September</t>
  </si>
  <si>
    <t>October</t>
  </si>
  <si>
    <t>November</t>
  </si>
  <si>
    <t>December</t>
  </si>
  <si>
    <t>January</t>
  </si>
  <si>
    <t>February</t>
  </si>
  <si>
    <t>March</t>
  </si>
  <si>
    <t>April</t>
  </si>
  <si>
    <t>May</t>
  </si>
  <si>
    <t>June</t>
  </si>
  <si>
    <t>Total</t>
  </si>
  <si>
    <t>School Name:  ______________________________________________________</t>
  </si>
  <si>
    <t>Amount</t>
  </si>
  <si>
    <t>Assumption</t>
  </si>
  <si>
    <t>REVENUES</t>
  </si>
  <si>
    <t>Start-Up Grants</t>
  </si>
  <si>
    <t xml:space="preserve">Other Revenue   </t>
  </si>
  <si>
    <t>TOTAL REVENUES</t>
  </si>
  <si>
    <t>EXPENDITURES</t>
  </si>
  <si>
    <t>Administrative Expenses</t>
  </si>
  <si>
    <t>Principal</t>
  </si>
  <si>
    <t>Administrative Staff</t>
  </si>
  <si>
    <t>Payroll Taxes</t>
  </si>
  <si>
    <t>Benefits</t>
  </si>
  <si>
    <t>Staff Development</t>
  </si>
  <si>
    <t>Recruiting/Marketing</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</si>
  <si>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</si>
  <si>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</si>
  <si>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</si>
  <si>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</si>
  <si>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</si>
  <si>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</si>
  <si>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</si>
  <si>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</si>
  <si>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</si>
  <si>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</si>
  <si>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</si>
  <si>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</si>
  <si>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</si>
  <si>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</si>
  <si>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</si>
  <si>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</si>
  <si>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</si>
  <si>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</si>
  <si>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</si>
  <si>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</si>
  <si>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</si>
  <si>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</si>
  <si>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Cumulative Fund Balance:</t>
  </si>
  <si>
    <t>here</t>
  </si>
  <si>
    <r>
      <t>(1)</t>
    </r>
    <r>
      <rPr>
        <sz val="7"/>
        <rFont val="Times New Roman"/>
        <family val="1"/>
      </rPr>
      <t xml:space="preserve">    </t>
    </r>
    <r>
      <rPr>
        <sz val="11"/>
        <rFont val="Calibri"/>
        <family val="2"/>
      </rPr>
      <t xml:space="preserve">Start-Up Statement of Activities (up to the July 1 prior to school opening).  The start-up statement of activities should list all anticipated revenue and expenditures in the period leading up to the fiscal year in which your proposed school would open.  </t>
    </r>
  </si>
  <si>
    <t>If the non-profit applying for the charter application was established for a purpose other than submitting a charter application, please submit the non-profit’s most recent audited financial statements as a separate PDF file.</t>
  </si>
  <si>
    <t>There are two resources that will help you complete your financial submission:</t>
  </si>
  <si>
    <r>
      <rPr>
        <sz val="11"/>
        <rFont val="Wingdings"/>
        <charset val="2"/>
      </rPr>
      <t>§</t>
    </r>
    <r>
      <rPr>
        <sz val="11"/>
        <rFont val="Calibri"/>
        <family val="2"/>
      </rPr>
      <t xml:space="preserve"> The Louisiana Accounting and Universal Government Handbook (LAUGH) guide can be found:</t>
    </r>
  </si>
  <si>
    <r>
      <rPr>
        <sz val="11"/>
        <rFont val="Wingdings"/>
        <charset val="2"/>
      </rPr>
      <t>§</t>
    </r>
    <r>
      <rPr>
        <sz val="11"/>
        <rFont val="Calibri"/>
        <family val="2"/>
      </rPr>
      <t xml:space="preserve"> A revenue projection tool that you may use to model various local, state, and federal revenues can be found:</t>
    </r>
  </si>
  <si>
    <t xml:space="preserve">School Name: </t>
  </si>
  <si>
    <t>Start-Up Statement of Activities</t>
  </si>
  <si>
    <t>Year 1 Operating Statement of Activities</t>
  </si>
  <si>
    <t>Operating Statement of Activities</t>
  </si>
  <si>
    <t>Year 1 Cash Flow Projection</t>
  </si>
  <si>
    <t xml:space="preserve">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 </t>
  </si>
  <si>
    <r>
      <t>A note about assumptions:</t>
    </r>
    <r>
      <rPr>
        <sz val="11"/>
        <rFont val="Arial"/>
        <family val="2"/>
      </rPr>
      <t xml:space="preserve"> For all line items related to staffing, assumptions should at a minimum include the number of staff members, whether they will be employees or contractors, and, if contractors, the nature of their work.</t>
    </r>
  </si>
  <si>
    <r>
      <t xml:space="preserve">A note about assumptions: </t>
    </r>
    <r>
      <rPr>
        <sz val="11"/>
        <rFont val="Arial"/>
        <family val="2"/>
      </rPr>
      <t>For all line items related to staffing, assumptions should at a minimum include the number of staff members in each year, whether they will be employees or contractors, and, if contractors, the nature of their work.</t>
    </r>
  </si>
  <si>
    <t>SPED Tier 1</t>
  </si>
  <si>
    <t>SPED Tier 2</t>
  </si>
  <si>
    <t>SPED Tier 3</t>
  </si>
  <si>
    <t>SPED Tier 4</t>
  </si>
  <si>
    <t>SPED Tier 5</t>
  </si>
  <si>
    <t>G/T</t>
  </si>
  <si>
    <t>ELL</t>
  </si>
  <si>
    <t>Overage</t>
  </si>
  <si>
    <t>K-8 Base (state + local)</t>
  </si>
  <si>
    <t>HS (9-12) Base</t>
  </si>
  <si>
    <t xml:space="preserve">In developing your per-pupil MFP revenue, use your Enrollment Projection (Appendix 9).
</t>
  </si>
  <si>
    <t>Instructions:</t>
  </si>
  <si>
    <r>
      <t>(3)</t>
    </r>
    <r>
      <rPr>
        <sz val="7"/>
        <rFont val="Times New Roman"/>
        <family val="1"/>
      </rPr>
      <t xml:space="preserve">    </t>
    </r>
    <r>
      <rPr>
        <sz val="11"/>
        <rFont val="Calibri"/>
        <family val="2"/>
      </rPr>
      <t>Operating Statement of Activities. The operating statement of activities should describe all anticipated revenue and expenditures from the July 1 immediately prior to school opening to either (a) the June 30 immediately following the end of year 5 of operations, or (b) the June 30 immediately following the end of the first school year in which your school serves all planned grades, whichever is longer.  If you use this Excel file to complete your financial submission, please complete both the Operating Statement of Activities tab and the detailed Year 1 Operating Statement of Activities tab.</t>
    </r>
  </si>
  <si>
    <r>
      <t>(4)</t>
    </r>
    <r>
      <rPr>
        <sz val="7"/>
        <rFont val="Times New Roman"/>
        <family val="1"/>
      </rPr>
      <t xml:space="preserve">    </t>
    </r>
    <r>
      <rPr>
        <sz val="11"/>
        <rFont val="Calibri"/>
        <family val="2"/>
      </rPr>
      <t>First Year Monthly Cash Flow Projection (July 1 prior to opening to June 30 after year 1).  This projection should forecast your school's incoming and outgoing cash flows during the first year of operation.</t>
    </r>
  </si>
  <si>
    <r>
      <t>(2)</t>
    </r>
    <r>
      <rPr>
        <sz val="7"/>
        <rFont val="Times New Roman"/>
        <family val="1"/>
      </rPr>
      <t>   </t>
    </r>
    <r>
      <rPr>
        <sz val="11"/>
        <rFont val="Calibri"/>
        <family val="2"/>
      </rPr>
      <t xml:space="preserve">Year One Statement of Activities (July 1 to June 30 of first year of operation).  The Year One statement of activities should list all anticipated revenue and expenditures in the fiscal year in which your proposed school would open.  </t>
    </r>
  </si>
  <si>
    <r>
      <rPr>
        <b/>
        <sz val="10"/>
        <rFont val="Arial"/>
        <family val="2"/>
      </rPr>
      <t>MFP Allocations for previous 3 years:</t>
    </r>
    <r>
      <rPr>
        <sz val="10"/>
        <rFont val="Arial"/>
        <family val="2"/>
      </rPr>
      <t xml:space="preserve">
FY 2017-18 $9,122.16 per pupil
FY 2016-17 $9,159.88 per pupil
FY 2015-16 $9,488.00 per pupil
</t>
    </r>
  </si>
  <si>
    <r>
      <rPr>
        <b/>
        <sz val="10"/>
        <rFont val="Arial"/>
        <family val="2"/>
      </rPr>
      <t>Title I Allocations for previous 3 years:</t>
    </r>
    <r>
      <rPr>
        <sz val="10"/>
        <rFont val="Arial"/>
        <family val="2"/>
      </rPr>
      <t xml:space="preserve">
FY 2017-18 $600.79 per pupil
FY 2016-17 $829.00 per pupil
FY 2015-16 $712.00 per pupil
</t>
    </r>
  </si>
  <si>
    <t xml:space="preserve">Schools seeking approval to operate within OPSB’s LEA must include a 3.8% chargeback on total per pupil funding to OPSB for federal funding, complaince and exceptional children services supports. Applicants opting out of OPSB's LEA must present staffing appropritate for assuming all LEA responsibilities. </t>
  </si>
  <si>
    <t>OPSB's LEA Chargeback = 
3.8% of total MFP revenue</t>
  </si>
  <si>
    <t>LEA Status Implications for Budget and Budget Narrative</t>
  </si>
  <si>
    <t xml:space="preserve">In determining your revenue projections for the term of the charter, you may wish to take into account the historical public funding information provided here. Please include in the budget narrative your assumptions regarding the growth in state/local per pupil (MFP), and levels of federal Title funding </t>
  </si>
  <si>
    <r>
      <t xml:space="preserve">Per-pupil MFP funding is allocated to schools in Orleans Parish based on a differentiated funding model that allocates funding based on student characteristics. 
Revenue is calculated by multiplying the number of students in each category by the dollar amounts below. </t>
    </r>
    <r>
      <rPr>
        <b/>
        <sz val="12"/>
        <rFont val="Calibri"/>
        <family val="2"/>
      </rPr>
      <t xml:space="preserve"> In generating your projections, please use dollar amounts in the table to the right.</t>
    </r>
    <r>
      <rPr>
        <sz val="12"/>
        <rFont val="Calibri"/>
        <family val="2"/>
      </rPr>
      <t xml:space="preserve">
Dollar amounts are rounded and change each year based on the model, but can be used for revenue projection.  You may use actual numbers, particularly if reflecting the budget of an existing school.  If you choose to do so, please include this assumption in your budget narrative.</t>
    </r>
  </si>
  <si>
    <t>Enrollment</t>
  </si>
  <si>
    <t>Special Populations:</t>
  </si>
  <si>
    <t>Tier 1</t>
  </si>
  <si>
    <t>Tier 2</t>
  </si>
  <si>
    <t>Tier 3</t>
  </si>
  <si>
    <t>Tier 5</t>
  </si>
  <si>
    <t>Tier 4</t>
  </si>
  <si>
    <t>PreK</t>
  </si>
  <si>
    <t>K</t>
  </si>
  <si>
    <t>Total w/o PreK</t>
  </si>
  <si>
    <t>Total w PreK</t>
  </si>
  <si>
    <t>Other Populations</t>
  </si>
  <si>
    <t>Gifted/Talented</t>
  </si>
  <si>
    <t>Differentiated funding</t>
  </si>
  <si>
    <t>Assumption for increase in Revenue</t>
  </si>
  <si>
    <t>Recurring Revenue per Pupil</t>
  </si>
  <si>
    <t>Public Revenue</t>
  </si>
  <si>
    <t>Local Revenue per Pupil</t>
  </si>
  <si>
    <t>Deferred Revenue</t>
  </si>
  <si>
    <t>Building per Pupil</t>
  </si>
  <si>
    <t>State pay raises</t>
  </si>
  <si>
    <t>State Revenue per Pupil</t>
  </si>
  <si>
    <t>SPED Funding per Pupil</t>
  </si>
  <si>
    <t>Level 1</t>
  </si>
  <si>
    <t>Level 2</t>
  </si>
  <si>
    <t>Level 3</t>
  </si>
  <si>
    <t>Level 4</t>
  </si>
  <si>
    <t>Level 5</t>
  </si>
  <si>
    <t>Gifted &amp; Talented</t>
  </si>
  <si>
    <t>2+ Years Over Age</t>
  </si>
  <si>
    <t>Recurring Grant Revenue per pupil</t>
  </si>
  <si>
    <t>Title 1A</t>
  </si>
  <si>
    <t>Title II</t>
  </si>
  <si>
    <t>IDEAB</t>
  </si>
  <si>
    <t>Other Recurring Revenue per Pupil</t>
  </si>
  <si>
    <t>Food Service Revenue</t>
  </si>
  <si>
    <t>Medicaid</t>
  </si>
  <si>
    <t>LA4 (Per Pre-k Student)</t>
  </si>
  <si>
    <t>Non-Recurring Revenue</t>
  </si>
  <si>
    <t>Fundraising Revenue per Pupil</t>
  </si>
  <si>
    <t>Private Fundraising</t>
  </si>
  <si>
    <t>Public Fundraising</t>
  </si>
  <si>
    <t>Non-Recurring Grant Revenue per Pupil</t>
  </si>
  <si>
    <t>Leader Residency</t>
  </si>
  <si>
    <t>Personalized Learning Grant</t>
  </si>
  <si>
    <t>Relay</t>
  </si>
  <si>
    <t>Expansion Grant</t>
  </si>
  <si>
    <t>ESYS</t>
  </si>
  <si>
    <t>8g</t>
  </si>
  <si>
    <t>Education Excellence Grant</t>
  </si>
  <si>
    <t>Other</t>
  </si>
  <si>
    <t>Title III</t>
  </si>
  <si>
    <t>Average Salary</t>
  </si>
  <si>
    <t>Co-teachers</t>
  </si>
  <si>
    <t>Regular Instruction (incl enrichment)</t>
  </si>
  <si>
    <t>Therapists</t>
  </si>
  <si>
    <t>$64 per student based on actual allocation for 2017-18</t>
  </si>
  <si>
    <t>Support Services</t>
  </si>
  <si>
    <t>Instructional Staff Services</t>
  </si>
  <si>
    <t>School Administration</t>
  </si>
  <si>
    <t>Number Year One</t>
  </si>
  <si>
    <t>Number Year Two</t>
  </si>
  <si>
    <t>Number Year Three</t>
  </si>
  <si>
    <t>Number Year Four</t>
  </si>
  <si>
    <t>Number Year Five</t>
  </si>
  <si>
    <t>Business Services</t>
  </si>
  <si>
    <t>SOM</t>
  </si>
  <si>
    <t>Group health at $3884 per employee</t>
  </si>
  <si>
    <t>Building square footage</t>
  </si>
  <si>
    <t>Food Service estimate per pupil</t>
  </si>
  <si>
    <t>$35 per student</t>
  </si>
  <si>
    <t>$195 per student</t>
  </si>
  <si>
    <t xml:space="preserve">$50 per student </t>
  </si>
  <si>
    <t>6% employer contribution</t>
  </si>
  <si>
    <t>1 speech therapist</t>
  </si>
  <si>
    <t>2 paraprofessionals</t>
  </si>
  <si>
    <t>1 Data front office administrator</t>
  </si>
  <si>
    <t>1 Counselor</t>
  </si>
  <si>
    <t>1 Nurse</t>
  </si>
  <si>
    <t>1 School psychologist</t>
  </si>
  <si>
    <t>$3884 per employee</t>
  </si>
  <si>
    <t>Estimated substitue expense</t>
  </si>
  <si>
    <t>Professional development</t>
  </si>
  <si>
    <t>1 School Director</t>
  </si>
  <si>
    <t>General Liability</t>
  </si>
  <si>
    <t>Independent audit</t>
  </si>
  <si>
    <t>Charter school association dues</t>
  </si>
  <si>
    <t>Employee background checks $54 per employee</t>
  </si>
  <si>
    <t>Preventive maintenance and contracted services</t>
  </si>
  <si>
    <t>$110 per student</t>
  </si>
  <si>
    <t>1 Site operations manager</t>
  </si>
  <si>
    <t>$77 per student</t>
  </si>
  <si>
    <t>Coffee, water, and snacks</t>
  </si>
  <si>
    <t>Estimate expense after allocation from SWBNO</t>
  </si>
  <si>
    <t>Verizon Wireless</t>
  </si>
  <si>
    <t>Misc. food service funds collected from staff</t>
  </si>
  <si>
    <t>Principal 6 months of salary</t>
  </si>
  <si>
    <t>SOM 3 months salary</t>
  </si>
  <si>
    <t>Payroll taxes and retirement</t>
  </si>
  <si>
    <t>Health benefits</t>
  </si>
  <si>
    <t>Assumes $200.22 per student</t>
  </si>
  <si>
    <t>Assumes $711 per student</t>
  </si>
  <si>
    <t>Assumes $33 per student</t>
  </si>
  <si>
    <t>OPSB sevice fee</t>
  </si>
  <si>
    <t>2% of MFP</t>
  </si>
  <si>
    <t>2017-2018 Budget Assumptions</t>
  </si>
  <si>
    <t>Principals / Directors</t>
  </si>
  <si>
    <t>Assistant Principals / Principals / Deans</t>
  </si>
  <si>
    <t>Clerical/Secretarial / FOA</t>
  </si>
  <si>
    <t>High School</t>
  </si>
  <si>
    <t>Percentage</t>
  </si>
  <si>
    <t>High Cost Services</t>
  </si>
  <si>
    <t>State per pupil $1868</t>
  </si>
  <si>
    <t>$900 per student annually</t>
  </si>
  <si>
    <t>Class size</t>
  </si>
  <si>
    <t>Total teachers</t>
  </si>
  <si>
    <t>Transportation</t>
  </si>
  <si>
    <t>Students per bus</t>
  </si>
  <si>
    <t>Cost per bus</t>
  </si>
  <si>
    <t>$1.33 per square foot</t>
  </si>
  <si>
    <t>2% contingency</t>
  </si>
  <si>
    <t>TRSL</t>
  </si>
  <si>
    <t>OT/PT, APE, evaluations, and other purchased services</t>
  </si>
  <si>
    <t>12 Lead teachers and 4 enrichment teachers (PE, Art, Music, and foreign language)</t>
  </si>
  <si>
    <t>Back office financial services</t>
  </si>
  <si>
    <t>Next Generation Academy</t>
  </si>
  <si>
    <t xml:space="preserve">Other Restricted Revenues </t>
  </si>
  <si>
    <t>Educational Excellence Fund</t>
  </si>
  <si>
    <t>Special Ed Resource</t>
  </si>
  <si>
    <t>Special Ed Low Incidence</t>
  </si>
  <si>
    <t>Case load</t>
  </si>
  <si>
    <t>4 Special education teachers</t>
  </si>
  <si>
    <t>PowerSchool 13.50 per student</t>
  </si>
  <si>
    <t>Salaries of CAO, Directors, Supervisors, Coordinators, ect.</t>
  </si>
  <si>
    <t>OPSB Authorizer Fee</t>
  </si>
  <si>
    <t>Child Welfare, Attendance Svcs, and Data manager</t>
  </si>
  <si>
    <t>Monique Handy</t>
  </si>
  <si>
    <t>Instruction and Curriculum Development Services (Literacy Coach)</t>
  </si>
  <si>
    <t>403B with a 2% match</t>
  </si>
  <si>
    <t>2% employer contribution</t>
  </si>
  <si>
    <t>Professional Development</t>
  </si>
  <si>
    <t>4 untiered, 1 vans, and $30K for field trips</t>
  </si>
  <si>
    <t>Custodial service $2.15 per square foot (incl. grounds)</t>
  </si>
  <si>
    <t>Athletics / extracurriclulars</t>
  </si>
  <si>
    <t>Athletic Director</t>
  </si>
  <si>
    <t>Football</t>
  </si>
  <si>
    <t>Basketball</t>
  </si>
  <si>
    <t>Baseball/Softball</t>
  </si>
  <si>
    <t>Volleyball</t>
  </si>
  <si>
    <t>Track</t>
  </si>
  <si>
    <t>Band</t>
  </si>
  <si>
    <t>Flag/Cheerleaders/Dance</t>
  </si>
  <si>
    <t>Average Salary / Stipend</t>
  </si>
  <si>
    <t>CAO</t>
  </si>
  <si>
    <t>Band and extracurricular activities</t>
  </si>
  <si>
    <t>Charter School Program</t>
  </si>
  <si>
    <t>403B</t>
  </si>
  <si>
    <t>Assumes $950 revenue per pupil</t>
  </si>
  <si>
    <t>Charter school program</t>
  </si>
  <si>
    <t>Local $5377 per student year 1</t>
  </si>
  <si>
    <t>Perkins</t>
  </si>
  <si>
    <t>NSNO Leadership Fellowship</t>
  </si>
  <si>
    <t>Computers, curriculum, FF&amp;E</t>
  </si>
  <si>
    <t>Student and staff recruiting</t>
  </si>
  <si>
    <t>Literacy Coach and STEM coordinator</t>
  </si>
  <si>
    <t>2 Assistant principals and 1 Dean of students</t>
  </si>
  <si>
    <t>1 Front offce administrator</t>
  </si>
  <si>
    <t>General liability</t>
  </si>
  <si>
    <t>Leila Eames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</si>
</sst>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31">
    <font>
      <sz val="10"/>
      <name val="Arial"/>
    </font>
    <font>
      <sz val="10"/>
      <name val="Arial"/>
      <family val="2"/>
    </font>
    <font>
      <sz val="8"/>
      <name val="Arial"/>
      <family val="2"/>
    </font>
    <font>
      <sz val="10"/>
      <name val="Arial"/>
      <family val="2"/>
    </font>
    <font>
      <b/>
      <sz val="10"/>
      <name val="Arial"/>
      <family val="2"/>
    </font>
    <font>
      <b/>
      <sz val="11"/>
      <name val="Arial"/>
      <family val="2"/>
    </font>
    <font>
      <sz val="11"/>
      <name val="Arial"/>
      <family val="2"/>
    </font>
    <font>
      <b/>
      <sz val="9"/>
      <name val="Arial"/>
      <family val="2"/>
    </font>
    <font>
      <sz val="9"/>
      <name val="Arial"/>
      <family val="2"/>
    </font>
    <font>
      <i/>
      <sz val="9"/>
      <name val="Arial"/>
      <family val="2"/>
    </font>
    <font>
      <i/>
      <sz val="8"/>
      <name val="Arial"/>
      <family val="2"/>
    </font>
    <font>
      <sz val="10.5"/>
      <name val="Arial"/>
      <family val="2"/>
    </font>
    <font>
      <i/>
      <sz val="10"/>
      <name val="Arial"/>
      <family val="2"/>
    </font>
    <font>
      <u/>
      <sz val="7.5"/>
      <color indexed="12"/>
      <name val="Arial"/>
      <family val="2"/>
    </font>
    <font>
      <sz val="11"/>
      <name val="Calibri"/>
      <family val="2"/>
    </font>
    <font>
      <sz val="7"/>
      <name val="Times New Roman"/>
      <family val="1"/>
    </font>
    <font>
      <sz val="20"/>
      <name val="Arial"/>
      <family val="2"/>
    </font>
    <font>
      <sz val="11"/>
      <name val="Wingdings"/>
      <charset val="2"/>
    </font>
    <font>
      <b/>
      <sz val="12"/>
      <name val="Arial"/>
      <family val="2"/>
    </font>
    <font>
      <sz val="12"/>
      <name val="Calibri"/>
      <family val="2"/>
    </font>
    <font>
      <b/>
      <sz val="12"/>
      <name val="Calibri"/>
      <family val="2"/>
    </font>
    <font>
      <u/>
      <sz val="11"/>
      <color indexed="12"/>
      <name val="Calibri"/>
      <family val="2"/>
      <scheme val="minor"/>
    </font>
    <font>
      <b/>
      <sz val="9"/>
      <name val="Calibri"/>
      <family val="2"/>
      <scheme val="minor"/>
    </font>
    <font>
      <b/>
      <sz val="11"/>
      <name val="Calibri"/>
      <family val="2"/>
      <scheme val="minor"/>
    </font>
    <font>
      <sz val="12"/>
      <name val="Calibri"/>
      <family val="2"/>
      <scheme val="minor"/>
    </font>
    <font>
      <u/>
      <sz val="10"/>
      <color theme="11"/>
      <name val="Arial"/>
      <family val="2"/>
    </font>
    <font>
      <sz val="11"/>
      <name val="Calibri"/>
      <family val="2"/>
      <scheme val="minor"/>
    </font>
    <font>
      <b/>
      <sz val="11"/>
      <name val="Calibri"/>
      <family val="2"/>
    </font>
    <font>
      <i/>
      <sz val="11"/>
      <name val="Calibri"/>
      <family val="2"/>
    </font>
    <font>
      <u/>
      <sz val="11"/>
      <name val="Calibri"/>
      <family val="2"/>
    </font>
    <font>
      <i/>
      <sz val="11"/>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09">
    <border>
      <left/>
      <right/>
      <top/>
      <bottom/>
      <diagonal/>
    </border>
    <border>
      <left/>
      <right/>
      <top style="thin">
        <color auto="1"/>
      </top>
      <bottom style="thin">
        <color auto="1"/>
      </bottom>
      <diagonal/>
    </border>
    <border>
      <left/>
      <right/>
      <top style="medium">
        <color auto="1"/>
      </top>
      <bottom style="medium">
        <color auto="1"/>
      </bottom>
      <diagonal/>
    </border>
    <border>
      <left/>
      <right/>
      <top style="hair">
        <color auto="1"/>
      </top>
      <bottom style="hair">
        <color auto="1"/>
      </bottom>
      <diagonal/>
    </border>
    <border>
      <left/>
      <right/>
      <top/>
      <bottom style="hair">
        <color auto="1"/>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diagonal/>
    </border>
    <border>
      <left style="thin">
        <color auto="1"/>
      </left>
      <right style="double">
        <color auto="1"/>
      </right>
      <top style="hair">
        <color auto="1"/>
      </top>
      <bottom/>
      <diagonal/>
    </border>
    <border>
      <left style="double">
        <color auto="1"/>
      </left>
      <right/>
      <top style="hair">
        <color auto="1"/>
      </top>
      <bottom style="hair">
        <color auto="1"/>
      </bottom>
      <diagonal/>
    </border>
    <border>
      <left style="double">
        <color auto="1"/>
      </left>
      <right/>
      <top/>
      <bottom style="hair">
        <color auto="1"/>
      </bottom>
      <diagonal/>
    </border>
    <border>
      <left style="double">
        <color auto="1"/>
      </left>
      <right/>
      <top style="double">
        <color auto="1"/>
      </top>
      <bottom/>
      <diagonal/>
    </border>
    <border>
      <left style="double">
        <color auto="1"/>
      </left>
      <right/>
      <top/>
      <bottom/>
      <diagonal/>
    </border>
    <border>
      <left/>
      <right/>
      <top style="double">
        <color auto="1"/>
      </top>
      <bottom/>
      <diagonal/>
    </border>
    <border>
      <left style="double">
        <color auto="1"/>
      </left>
      <right/>
      <top style="hair">
        <color auto="1"/>
      </top>
      <bottom/>
      <diagonal/>
    </border>
    <border>
      <left/>
      <right/>
      <top style="hair">
        <color auto="1"/>
      </top>
      <bottom/>
      <diagonal/>
    </border>
    <border>
      <left style="double">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hair">
        <color auto="1"/>
      </top>
      <bottom style="hair">
        <color auto="1"/>
      </bottom>
      <diagonal/>
    </border>
    <border>
      <left/>
      <right style="double">
        <color auto="1"/>
      </right>
      <top style="hair">
        <color auto="1"/>
      </top>
      <bottom/>
      <diagonal/>
    </border>
    <border>
      <left/>
      <right style="double">
        <color auto="1"/>
      </right>
      <top/>
      <bottom style="hair">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style="medium">
        <color auto="1"/>
      </top>
      <bottom style="medium">
        <color auto="1"/>
      </bottom>
      <diagonal/>
    </border>
    <border>
      <left/>
      <right/>
      <top style="thin">
        <color auto="1"/>
      </top>
      <bottom/>
      <diagonal/>
    </border>
    <border>
      <left style="double">
        <color auto="1"/>
      </left>
      <right style="double">
        <color auto="1"/>
      </right>
      <top style="medium">
        <color auto="1"/>
      </top>
      <bottom/>
      <diagonal/>
    </border>
    <border>
      <left/>
      <right/>
      <top/>
      <bottom style="medium">
        <color auto="1"/>
      </bottom>
      <diagonal/>
    </border>
    <border>
      <left/>
      <right style="double">
        <color auto="1"/>
      </right>
      <top style="medium">
        <color auto="1"/>
      </top>
      <bottom/>
      <diagonal/>
    </border>
    <border>
      <left/>
      <right/>
      <top style="medium">
        <color auto="1"/>
      </top>
      <bottom/>
      <diagonal/>
    </border>
    <border>
      <left style="double">
        <color auto="1"/>
      </left>
      <right/>
      <top/>
      <bottom style="medium">
        <color auto="1"/>
      </bottom>
      <diagonal/>
    </border>
    <border>
      <left style="double">
        <color auto="1"/>
      </left>
      <right style="double">
        <color auto="1"/>
      </right>
      <top/>
      <bottom style="medium">
        <color auto="1"/>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style="medium">
        <color auto="1"/>
      </top>
      <bottom/>
      <diagonal/>
    </border>
    <border>
      <left style="double">
        <color auto="1"/>
      </left>
      <right style="thin">
        <color auto="1"/>
      </right>
      <top style="medium">
        <color auto="1"/>
      </top>
      <bottom/>
      <diagonal/>
    </border>
    <border>
      <left style="thin">
        <color auto="1"/>
      </left>
      <right style="double">
        <color auto="1"/>
      </right>
      <top style="medium">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style="double">
        <color auto="1"/>
      </right>
      <top style="double">
        <color auto="1"/>
      </top>
      <bottom/>
      <diagonal/>
    </border>
    <border>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double">
        <color auto="1"/>
      </right>
      <top style="hair">
        <color auto="1"/>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bottom style="double">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style="double">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bottom/>
      <diagonal/>
    </border>
    <border>
      <left style="double">
        <color auto="1"/>
      </left>
      <right style="double">
        <color auto="1"/>
      </right>
      <top style="hair">
        <color auto="1"/>
      </top>
      <bottom/>
      <diagonal/>
    </border>
    <border>
      <left style="double">
        <color auto="1"/>
      </left>
      <right style="double">
        <color auto="1"/>
      </right>
      <top style="thin">
        <color auto="1"/>
      </top>
      <bottom style="thin">
        <color auto="1"/>
      </bottom>
      <diagonal/>
    </border>
    <border>
      <left style="double">
        <color auto="1"/>
      </left>
      <right style="double">
        <color auto="1"/>
      </right>
      <top/>
      <bottom style="hair">
        <color auto="1"/>
      </bottom>
      <diagonal/>
    </border>
    <border>
      <left style="thin">
        <color auto="1"/>
      </left>
      <right/>
      <top style="double">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style="double">
        <color auto="1"/>
      </left>
      <right style="thin">
        <color auto="1"/>
      </right>
      <top style="double">
        <color auto="1"/>
      </top>
      <bottom style="hair">
        <color auto="1"/>
      </bottom>
      <diagonal/>
    </border>
    <border>
      <left style="thin">
        <color auto="1"/>
      </left>
      <right/>
      <top style="double">
        <color auto="1"/>
      </top>
      <bottom style="hair">
        <color auto="1"/>
      </bottom>
      <diagonal/>
    </border>
    <border>
      <left style="double">
        <color auto="1"/>
      </left>
      <right/>
      <top/>
      <bottom style="double">
        <color auto="1"/>
      </bottom>
      <diagonal/>
    </border>
    <border>
      <left style="double">
        <color auto="1"/>
      </left>
      <right style="thin">
        <color auto="1"/>
      </right>
      <top/>
      <bottom style="double">
        <color auto="1"/>
      </bottom>
      <diagonal/>
    </border>
    <border>
      <left style="thin">
        <color auto="1"/>
      </left>
      <right/>
      <top/>
      <bottom style="double">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style="hair">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Dashed">
        <color auto="1"/>
      </top>
      <bottom/>
      <diagonal/>
    </border>
    <border>
      <left/>
      <right/>
      <top/>
      <bottom style="mediumDashed">
        <color auto="1"/>
      </bottom>
      <diagonal/>
    </border>
    <border>
      <left/>
      <right style="medium">
        <color auto="1"/>
      </right>
      <top style="mediumDashed">
        <color auto="1"/>
      </top>
      <bottom/>
      <diagonal/>
    </border>
    <border>
      <left style="medium">
        <color auto="1"/>
      </left>
      <right/>
      <top/>
      <bottom style="mediumDashed">
        <color auto="1"/>
      </bottom>
      <diagonal/>
    </border>
    <border>
      <left/>
      <right style="medium">
        <color auto="1"/>
      </right>
      <top/>
      <bottom style="mediumDashed">
        <color auto="1"/>
      </bottom>
      <diagonal/>
    </border>
    <border>
      <left style="medium">
        <color auto="1"/>
      </left>
      <right/>
      <top style="medium">
        <color auto="1"/>
      </top>
      <bottom/>
      <diagonal/>
    </border>
    <border>
      <left/>
      <right style="medium">
        <color auto="1"/>
      </right>
      <top style="medium">
        <color auto="1"/>
      </top>
      <bottom/>
      <diagonal/>
    </border>
    <border>
      <left/>
      <right/>
      <top style="mediumDashed">
        <color auto="1"/>
      </top>
      <bottom/>
      <diagonal/>
    </border>
    <border>
      <left style="thin">
        <color auto="1"/>
      </left>
      <right style="double">
        <color auto="1"/>
      </right>
      <top/>
      <bottom style="double">
        <color auto="1"/>
      </bottom>
      <diagonal/>
    </border>
    <border>
      <left/>
      <right style="double">
        <color auto="1"/>
      </right>
      <top/>
      <bottom/>
      <diagonal/>
    </border>
  </borders>
  <cellStyleXfs count="14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518">
    <xf numFmtId="0" fontId="0" fillId="0" borderId="0" xfId="0"/>
    <xf numFmtId="0" fontId="5"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Continuous"/>
    </xf>
    <xf numFmtId="0" fontId="6" fillId="2" borderId="1" xfId="0" applyFont="1" applyFill="1" applyBorder="1"/>
    <xf numFmtId="0" fontId="6" fillId="2" borderId="2" xfId="0" applyFont="1" applyFill="1" applyBorder="1"/>
    <xf numFmtId="0" fontId="5" fillId="0" borderId="0" xfId="0" applyFont="1" applyFill="1" applyAlignment="1">
      <alignment horizontal="centerContinuous"/>
    </xf>
    <xf numFmtId="0" fontId="6" fillId="0" borderId="3" xfId="0" applyFont="1" applyBorder="1"/>
    <xf numFmtId="0" fontId="5" fillId="0" borderId="3" xfId="0" applyFont="1" applyBorder="1"/>
    <xf numFmtId="0" fontId="6" fillId="2" borderId="3" xfId="0" applyFont="1" applyFill="1" applyBorder="1"/>
    <xf numFmtId="0" fontId="6" fillId="0" borderId="4" xfId="0" applyFont="1" applyBorder="1"/>
    <xf numFmtId="0" fontId="6" fillId="0" borderId="0"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0" borderId="0" xfId="0" applyFont="1" applyBorder="1"/>
    <xf numFmtId="0" fontId="5" fillId="0" borderId="0" xfId="0" applyFont="1" applyBorder="1" applyAlignment="1">
      <alignment horizontal="centerContinuous"/>
    </xf>
    <xf numFmtId="0" fontId="6" fillId="0" borderId="11" xfId="0" applyFont="1" applyBorder="1" applyAlignment="1">
      <alignment horizontal="left"/>
    </xf>
    <xf numFmtId="0" fontId="6" fillId="0" borderId="12" xfId="0" applyFont="1" applyBorder="1" applyAlignment="1">
      <alignment horizontal="left"/>
    </xf>
    <xf numFmtId="0" fontId="6" fillId="2" borderId="4" xfId="0" applyFont="1" applyFill="1" applyBorder="1"/>
    <xf numFmtId="0" fontId="6" fillId="2" borderId="13" xfId="0" applyFont="1" applyFill="1" applyBorder="1"/>
    <xf numFmtId="0" fontId="6" fillId="2" borderId="14" xfId="0" applyFont="1" applyFill="1" applyBorder="1"/>
    <xf numFmtId="0" fontId="7" fillId="0" borderId="0" xfId="0" applyFont="1" applyFill="1" applyAlignment="1">
      <alignment horizontal="centerContinuous"/>
    </xf>
    <xf numFmtId="0" fontId="7" fillId="0" borderId="15" xfId="0" applyFont="1" applyFill="1" applyBorder="1" applyAlignment="1">
      <alignment horizontal="center"/>
    </xf>
    <xf numFmtId="0" fontId="8" fillId="0" borderId="14" xfId="0" applyFont="1" applyFill="1" applyBorder="1"/>
    <xf numFmtId="0" fontId="8" fillId="2" borderId="13" xfId="0" applyFont="1" applyFill="1" applyBorder="1"/>
    <xf numFmtId="0" fontId="8" fillId="0" borderId="13" xfId="0" applyFont="1" applyFill="1" applyBorder="1"/>
    <xf numFmtId="0" fontId="8" fillId="0" borderId="0" xfId="0" applyFont="1" applyFill="1"/>
    <xf numFmtId="0" fontId="8" fillId="2" borderId="14" xfId="0" applyFont="1" applyFill="1" applyBorder="1"/>
    <xf numFmtId="0" fontId="5" fillId="0" borderId="16" xfId="0" applyFont="1" applyBorder="1"/>
    <xf numFmtId="0" fontId="6" fillId="0" borderId="14" xfId="0" applyFont="1" applyBorder="1"/>
    <xf numFmtId="0" fontId="6" fillId="0" borderId="13" xfId="0" applyFont="1" applyBorder="1"/>
    <xf numFmtId="0" fontId="7" fillId="0" borderId="16" xfId="0" applyFont="1" applyFill="1" applyBorder="1" applyAlignment="1">
      <alignment horizontal="center"/>
    </xf>
    <xf numFmtId="0" fontId="8" fillId="0" borderId="15" xfId="0" applyFont="1" applyFill="1" applyBorder="1"/>
    <xf numFmtId="0" fontId="6" fillId="0" borderId="17" xfId="0" applyFont="1" applyBorder="1"/>
    <xf numFmtId="0" fontId="5" fillId="0" borderId="0" xfId="0" applyFont="1" applyBorder="1" applyAlignment="1">
      <alignment horizontal="center"/>
    </xf>
    <xf numFmtId="0" fontId="5" fillId="0" borderId="15" xfId="0" applyFont="1" applyBorder="1"/>
    <xf numFmtId="0" fontId="6" fillId="0" borderId="18" xfId="0" applyFont="1" applyBorder="1"/>
    <xf numFmtId="0" fontId="6" fillId="0" borderId="19" xfId="0" applyFont="1" applyBorder="1"/>
    <xf numFmtId="0" fontId="6" fillId="2" borderId="20" xfId="0" applyFont="1" applyFill="1" applyBorder="1"/>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23" xfId="0" applyFont="1" applyFill="1" applyBorder="1"/>
    <xf numFmtId="0" fontId="6" fillId="2" borderId="24" xfId="0" applyFont="1" applyFill="1" applyBorder="1"/>
    <xf numFmtId="0" fontId="6" fillId="2" borderId="25" xfId="0" applyFont="1" applyFill="1" applyBorder="1" applyAlignment="1">
      <alignment horizontal="left"/>
    </xf>
    <xf numFmtId="0" fontId="6" fillId="2" borderId="26" xfId="0" applyFont="1" applyFill="1" applyBorder="1" applyAlignment="1">
      <alignment horizontal="left"/>
    </xf>
    <xf numFmtId="0" fontId="5" fillId="2" borderId="1" xfId="0" applyFont="1" applyFill="1" applyBorder="1"/>
    <xf numFmtId="0" fontId="5" fillId="2" borderId="13" xfId="0" applyFont="1" applyFill="1" applyBorder="1"/>
    <xf numFmtId="0" fontId="5" fillId="2" borderId="3" xfId="0" applyFont="1" applyFill="1" applyBorder="1"/>
    <xf numFmtId="0" fontId="5" fillId="2" borderId="18" xfId="0" applyFont="1" applyFill="1" applyBorder="1"/>
    <xf numFmtId="0" fontId="5" fillId="2" borderId="19" xfId="0" applyFont="1" applyFill="1" applyBorder="1"/>
    <xf numFmtId="0" fontId="5" fillId="2" borderId="4" xfId="0" applyFont="1" applyFill="1" applyBorder="1"/>
    <xf numFmtId="0" fontId="8" fillId="0" borderId="27" xfId="0" applyFont="1" applyFill="1" applyBorder="1"/>
    <xf numFmtId="0" fontId="5" fillId="0" borderId="19" xfId="0" applyFont="1" applyBorder="1"/>
    <xf numFmtId="0" fontId="5" fillId="2" borderId="28" xfId="0" applyFont="1" applyFill="1" applyBorder="1"/>
    <xf numFmtId="0" fontId="5" fillId="2" borderId="29" xfId="0" applyFont="1" applyFill="1" applyBorder="1"/>
    <xf numFmtId="0" fontId="6" fillId="3" borderId="9" xfId="0" applyFont="1" applyFill="1" applyBorder="1" applyAlignment="1">
      <alignment horizontal="left"/>
    </xf>
    <xf numFmtId="0" fontId="6" fillId="3" borderId="1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5" fillId="2" borderId="32" xfId="0" applyFont="1" applyFill="1" applyBorder="1"/>
    <xf numFmtId="0" fontId="5" fillId="2" borderId="2" xfId="0" applyFont="1" applyFill="1" applyBorder="1"/>
    <xf numFmtId="0" fontId="5" fillId="3" borderId="9" xfId="0" applyFont="1" applyFill="1" applyBorder="1" applyAlignment="1">
      <alignment horizontal="left"/>
    </xf>
    <xf numFmtId="0" fontId="5" fillId="3" borderId="10" xfId="0" applyFont="1" applyFill="1" applyBorder="1" applyAlignment="1">
      <alignment horizontal="left"/>
    </xf>
    <xf numFmtId="0" fontId="5" fillId="0" borderId="13" xfId="0" applyFont="1" applyBorder="1" applyAlignment="1">
      <alignment horizontal="left" wrapText="1"/>
    </xf>
    <xf numFmtId="0" fontId="5" fillId="0" borderId="13" xfId="0" applyFont="1" applyBorder="1"/>
    <xf numFmtId="0" fontId="5" fillId="0" borderId="18" xfId="0" applyFont="1" applyBorder="1"/>
    <xf numFmtId="0" fontId="9" fillId="0" borderId="19" xfId="0" applyFont="1" applyBorder="1"/>
    <xf numFmtId="0" fontId="6" fillId="0" borderId="16" xfId="0" applyFont="1" applyBorder="1"/>
    <xf numFmtId="0" fontId="9" fillId="0" borderId="0" xfId="0" applyFont="1" applyBorder="1"/>
    <xf numFmtId="0" fontId="10" fillId="0" borderId="3" xfId="0" applyFont="1" applyBorder="1"/>
    <xf numFmtId="0" fontId="5" fillId="2" borderId="27" xfId="0" applyFont="1" applyFill="1" applyBorder="1" applyProtection="1">
      <protection locked="0"/>
    </xf>
    <xf numFmtId="0" fontId="7" fillId="2" borderId="23" xfId="0" applyFont="1" applyFill="1" applyBorder="1"/>
    <xf numFmtId="0" fontId="7" fillId="2" borderId="13" xfId="0" applyFont="1" applyFill="1" applyBorder="1"/>
    <xf numFmtId="0" fontId="7" fillId="2" borderId="14" xfId="0" applyFont="1" applyFill="1" applyBorder="1"/>
    <xf numFmtId="0" fontId="7" fillId="2" borderId="18" xfId="0" applyFont="1" applyFill="1" applyBorder="1"/>
    <xf numFmtId="0" fontId="9" fillId="0" borderId="18" xfId="0" applyFont="1" applyBorder="1"/>
    <xf numFmtId="0" fontId="9" fillId="0" borderId="11" xfId="0" applyFont="1" applyBorder="1" applyAlignment="1">
      <alignment horizontal="left"/>
    </xf>
    <xf numFmtId="0" fontId="9" fillId="0" borderId="12" xfId="0" applyFont="1" applyBorder="1" applyAlignment="1">
      <alignment horizontal="left"/>
    </xf>
    <xf numFmtId="0" fontId="9" fillId="0" borderId="0" xfId="0" applyFont="1"/>
    <xf numFmtId="0" fontId="6" fillId="0" borderId="14" xfId="0" applyFont="1" applyFill="1" applyBorder="1"/>
    <xf numFmtId="0" fontId="6" fillId="0" borderId="4" xfId="0" applyFont="1" applyFill="1" applyBorder="1"/>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0" xfId="0" applyFont="1" applyFill="1"/>
    <xf numFmtId="0" fontId="8"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8" fillId="0" borderId="33" xfId="0" applyFont="1" applyFill="1" applyBorder="1"/>
    <xf numFmtId="0" fontId="6" fillId="0" borderId="9" xfId="0" applyFont="1" applyFill="1" applyBorder="1" applyAlignment="1">
      <alignment horizontal="left"/>
    </xf>
    <xf numFmtId="0" fontId="6" fillId="0" borderId="10" xfId="0" applyFont="1" applyFill="1" applyBorder="1" applyAlignment="1">
      <alignment horizontal="left"/>
    </xf>
    <xf numFmtId="0" fontId="11" fillId="0" borderId="3" xfId="0" applyFont="1" applyBorder="1"/>
    <xf numFmtId="0" fontId="6" fillId="0" borderId="13" xfId="0" applyFont="1" applyFill="1" applyBorder="1"/>
    <xf numFmtId="0" fontId="10" fillId="0" borderId="3" xfId="0" applyFont="1" applyFill="1" applyBorder="1"/>
    <xf numFmtId="0" fontId="6" fillId="0" borderId="3" xfId="0" applyFont="1" applyFill="1" applyBorder="1"/>
    <xf numFmtId="0" fontId="5" fillId="2" borderId="4" xfId="0" applyFont="1" applyFill="1" applyBorder="1" applyAlignment="1">
      <alignment horizontal="left"/>
    </xf>
    <xf numFmtId="0" fontId="7" fillId="2" borderId="18" xfId="0" applyFont="1" applyFill="1" applyBorder="1" applyAlignment="1">
      <alignment horizontal="left"/>
    </xf>
    <xf numFmtId="0" fontId="6" fillId="2" borderId="19" xfId="0" applyFont="1" applyFill="1" applyBorder="1"/>
    <xf numFmtId="0" fontId="6" fillId="2" borderId="28" xfId="0" applyFont="1" applyFill="1" applyBorder="1"/>
    <xf numFmtId="0" fontId="6" fillId="2" borderId="34" xfId="0" applyFont="1" applyFill="1" applyBorder="1"/>
    <xf numFmtId="0" fontId="5" fillId="2" borderId="34" xfId="0" applyFont="1" applyFill="1" applyBorder="1"/>
    <xf numFmtId="0" fontId="7" fillId="2" borderId="35" xfId="0" applyFont="1" applyFill="1" applyBorder="1"/>
    <xf numFmtId="0" fontId="5" fillId="2" borderId="35" xfId="0" applyFont="1" applyFill="1" applyBorder="1"/>
    <xf numFmtId="0" fontId="5" fillId="2" borderId="36" xfId="0" applyFont="1" applyFill="1" applyBorder="1"/>
    <xf numFmtId="0" fontId="5" fillId="3" borderId="21" xfId="0" applyFont="1" applyFill="1" applyBorder="1" applyAlignment="1">
      <alignment horizontal="left"/>
    </xf>
    <xf numFmtId="0" fontId="5" fillId="3" borderId="22" xfId="0" applyFont="1" applyFill="1" applyBorder="1" applyAlignment="1">
      <alignment horizontal="left"/>
    </xf>
    <xf numFmtId="0" fontId="6" fillId="3" borderId="21" xfId="0" applyFont="1" applyFill="1" applyBorder="1" applyAlignment="1">
      <alignment horizontal="left"/>
    </xf>
    <xf numFmtId="0" fontId="6" fillId="3" borderId="22" xfId="0" applyFont="1" applyFill="1" applyBorder="1" applyAlignment="1">
      <alignment horizontal="left"/>
    </xf>
    <xf numFmtId="0" fontId="5" fillId="2" borderId="37" xfId="0" applyFont="1" applyFill="1" applyBorder="1"/>
    <xf numFmtId="0" fontId="6" fillId="2" borderId="38" xfId="0" applyFont="1" applyFill="1" applyBorder="1"/>
    <xf numFmtId="0" fontId="6" fillId="2" borderId="35" xfId="0" applyFont="1" applyFill="1" applyBorder="1"/>
    <xf numFmtId="0" fontId="8" fillId="2" borderId="39" xfId="0" applyFont="1" applyFill="1" applyBorder="1"/>
    <xf numFmtId="0" fontId="6" fillId="2" borderId="40" xfId="0" applyFont="1" applyFill="1" applyBorder="1" applyAlignment="1">
      <alignment horizontal="left"/>
    </xf>
    <xf numFmtId="0" fontId="6" fillId="2" borderId="41" xfId="0" applyFont="1" applyFill="1" applyBorder="1" applyAlignment="1">
      <alignment horizontal="left"/>
    </xf>
    <xf numFmtId="0" fontId="7" fillId="2" borderId="37" xfId="0" applyFont="1" applyFill="1" applyBorder="1"/>
    <xf numFmtId="0" fontId="5" fillId="2" borderId="42" xfId="0" applyFont="1" applyFill="1" applyBorder="1"/>
    <xf numFmtId="0" fontId="5" fillId="2" borderId="38" xfId="0" applyFont="1" applyFill="1" applyBorder="1"/>
    <xf numFmtId="0" fontId="5" fillId="2" borderId="14" xfId="0" applyFont="1" applyFill="1" applyBorder="1"/>
    <xf numFmtId="0" fontId="6" fillId="0" borderId="11" xfId="0" applyFont="1" applyFill="1" applyBorder="1" applyAlignment="1">
      <alignment horizontal="left"/>
    </xf>
    <xf numFmtId="0" fontId="6" fillId="0" borderId="12" xfId="0" applyFont="1" applyFill="1" applyBorder="1" applyAlignment="1">
      <alignment horizontal="left"/>
    </xf>
    <xf numFmtId="0" fontId="6" fillId="3" borderId="43" xfId="0" applyFont="1" applyFill="1" applyBorder="1" applyAlignment="1">
      <alignment horizontal="left"/>
    </xf>
    <xf numFmtId="0" fontId="6" fillId="3" borderId="44" xfId="0" applyFont="1" applyFill="1" applyBorder="1" applyAlignment="1">
      <alignment horizontal="left"/>
    </xf>
    <xf numFmtId="0" fontId="0" fillId="0" borderId="17" xfId="0" applyBorder="1" applyAlignment="1">
      <alignment horizontal="center" vertical="center"/>
    </xf>
    <xf numFmtId="0" fontId="6" fillId="3" borderId="62" xfId="0" applyFont="1" applyFill="1" applyBorder="1" applyAlignment="1">
      <alignment horizontal="left"/>
    </xf>
    <xf numFmtId="0" fontId="6" fillId="3" borderId="63" xfId="0" applyFont="1" applyFill="1" applyBorder="1" applyAlignment="1">
      <alignment horizontal="left"/>
    </xf>
    <xf numFmtId="0" fontId="6" fillId="0" borderId="63" xfId="0" applyFont="1" applyBorder="1" applyAlignment="1">
      <alignment horizontal="left"/>
    </xf>
    <xf numFmtId="0" fontId="6" fillId="3" borderId="64" xfId="0" applyFont="1" applyFill="1" applyBorder="1" applyAlignment="1">
      <alignment horizontal="left"/>
    </xf>
    <xf numFmtId="0" fontId="9" fillId="0" borderId="64" xfId="0" applyFont="1" applyBorder="1" applyAlignment="1">
      <alignment horizontal="left"/>
    </xf>
    <xf numFmtId="0" fontId="6" fillId="0" borderId="64" xfId="0" applyFont="1" applyBorder="1" applyAlignment="1">
      <alignment horizontal="left"/>
    </xf>
    <xf numFmtId="0" fontId="6" fillId="2" borderId="65" xfId="0" applyFont="1" applyFill="1" applyBorder="1" applyAlignment="1">
      <alignment horizontal="left"/>
    </xf>
    <xf numFmtId="0" fontId="6" fillId="0" borderId="62" xfId="0" applyFont="1" applyFill="1" applyBorder="1" applyAlignment="1">
      <alignment horizontal="left"/>
    </xf>
    <xf numFmtId="0" fontId="6" fillId="0" borderId="64" xfId="0" applyFont="1" applyFill="1" applyBorder="1" applyAlignment="1">
      <alignment horizontal="left"/>
    </xf>
    <xf numFmtId="0" fontId="6" fillId="2" borderId="66" xfId="0" applyFont="1" applyFill="1" applyBorder="1" applyAlignment="1">
      <alignment horizontal="left"/>
    </xf>
    <xf numFmtId="0" fontId="6" fillId="0" borderId="67" xfId="0" applyFont="1" applyBorder="1" applyAlignment="1">
      <alignment horizontal="left"/>
    </xf>
    <xf numFmtId="0" fontId="5" fillId="3" borderId="64" xfId="0" applyFont="1" applyFill="1" applyBorder="1" applyAlignment="1">
      <alignment horizontal="left"/>
    </xf>
    <xf numFmtId="0" fontId="5" fillId="3" borderId="62" xfId="0" applyFont="1" applyFill="1" applyBorder="1" applyAlignment="1">
      <alignment horizontal="left"/>
    </xf>
    <xf numFmtId="0" fontId="5" fillId="3" borderId="63" xfId="0" applyFont="1" applyFill="1" applyBorder="1" applyAlignment="1">
      <alignment horizontal="left"/>
    </xf>
    <xf numFmtId="0" fontId="6" fillId="0" borderId="62" xfId="0" applyFont="1" applyBorder="1" applyAlignment="1">
      <alignment horizontal="left"/>
    </xf>
    <xf numFmtId="0" fontId="6" fillId="3" borderId="67" xfId="0" applyFont="1" applyFill="1" applyBorder="1" applyAlignment="1">
      <alignment horizontal="left"/>
    </xf>
    <xf numFmtId="0" fontId="6" fillId="0" borderId="63" xfId="0" applyFont="1" applyFill="1" applyBorder="1" applyAlignment="1">
      <alignment horizontal="left"/>
    </xf>
    <xf numFmtId="0" fontId="6" fillId="3" borderId="66" xfId="0" applyFont="1" applyFill="1" applyBorder="1" applyAlignment="1">
      <alignment horizontal="left"/>
    </xf>
    <xf numFmtId="0" fontId="6" fillId="3" borderId="68" xfId="0" applyFont="1" applyFill="1" applyBorder="1" applyAlignment="1">
      <alignment horizontal="left"/>
    </xf>
    <xf numFmtId="0" fontId="6" fillId="2" borderId="69" xfId="0" applyFont="1" applyFill="1" applyBorder="1" applyAlignment="1">
      <alignment horizontal="left"/>
    </xf>
    <xf numFmtId="0" fontId="5" fillId="3" borderId="66" xfId="0" applyFont="1" applyFill="1" applyBorder="1" applyAlignment="1">
      <alignment horizontal="left"/>
    </xf>
    <xf numFmtId="0" fontId="6" fillId="0" borderId="37" xfId="0" applyFont="1" applyBorder="1"/>
    <xf numFmtId="0" fontId="6" fillId="0" borderId="37" xfId="0" applyFont="1" applyBorder="1" applyAlignment="1">
      <alignment horizontal="left"/>
    </xf>
    <xf numFmtId="0" fontId="6" fillId="0" borderId="0" xfId="0" applyFont="1" applyBorder="1" applyAlignment="1">
      <alignment horizontal="left"/>
    </xf>
    <xf numFmtId="0" fontId="7" fillId="0" borderId="70" xfId="0" applyFont="1" applyFill="1" applyBorder="1" applyAlignment="1">
      <alignment horizontal="center"/>
    </xf>
    <xf numFmtId="0" fontId="7" fillId="0" borderId="17" xfId="0" applyFont="1" applyBorder="1" applyAlignment="1">
      <alignment horizontal="center" vertical="center" wrapText="1"/>
    </xf>
    <xf numFmtId="0" fontId="7" fillId="0" borderId="71" xfId="0" applyFont="1" applyFill="1" applyBorder="1" applyAlignment="1">
      <alignment horizontal="center"/>
    </xf>
    <xf numFmtId="0" fontId="0" fillId="0" borderId="72" xfId="0" applyBorder="1" applyAlignment="1">
      <alignment horizontal="center" vertical="center"/>
    </xf>
    <xf numFmtId="0" fontId="7" fillId="0" borderId="72" xfId="0" applyFont="1" applyBorder="1" applyAlignment="1">
      <alignment horizontal="center" vertical="center" wrapText="1"/>
    </xf>
    <xf numFmtId="8" fontId="6" fillId="2" borderId="7" xfId="0" applyNumberFormat="1" applyFont="1" applyFill="1" applyBorder="1" applyAlignment="1">
      <alignment horizontal="right"/>
    </xf>
    <xf numFmtId="0" fontId="6" fillId="2" borderId="4" xfId="0" applyFont="1" applyFill="1" applyBorder="1" applyAlignment="1">
      <alignment horizontal="left"/>
    </xf>
    <xf numFmtId="0" fontId="6" fillId="2" borderId="8" xfId="0" applyFont="1" applyFill="1" applyBorder="1" applyAlignment="1">
      <alignment horizontal="left"/>
    </xf>
    <xf numFmtId="8" fontId="6" fillId="0" borderId="9" xfId="0" applyNumberFormat="1" applyFont="1" applyBorder="1" applyAlignment="1">
      <alignment horizontal="right"/>
    </xf>
    <xf numFmtId="0" fontId="6" fillId="0" borderId="3" xfId="0" applyFont="1" applyBorder="1" applyAlignment="1">
      <alignment horizontal="left"/>
    </xf>
    <xf numFmtId="8" fontId="6" fillId="2" borderId="9" xfId="0" applyNumberFormat="1" applyFont="1" applyFill="1" applyBorder="1" applyAlignment="1">
      <alignment horizontal="right"/>
    </xf>
    <xf numFmtId="0" fontId="6" fillId="2" borderId="3" xfId="0" applyFont="1" applyFill="1" applyBorder="1" applyAlignment="1">
      <alignment horizontal="left"/>
    </xf>
    <xf numFmtId="0" fontId="6" fillId="2" borderId="10" xfId="0" applyFont="1" applyFill="1" applyBorder="1" applyAlignment="1">
      <alignment horizontal="left"/>
    </xf>
    <xf numFmtId="0" fontId="5" fillId="0" borderId="13" xfId="0" applyFont="1" applyFill="1" applyBorder="1"/>
    <xf numFmtId="8" fontId="6" fillId="0" borderId="9" xfId="0" applyNumberFormat="1" applyFont="1" applyFill="1" applyBorder="1" applyAlignment="1">
      <alignment horizontal="right"/>
    </xf>
    <xf numFmtId="0" fontId="6" fillId="0" borderId="3" xfId="0" applyFont="1" applyFill="1" applyBorder="1" applyAlignment="1">
      <alignment horizontal="left"/>
    </xf>
    <xf numFmtId="0" fontId="0" fillId="0" borderId="0" xfId="0" applyFill="1"/>
    <xf numFmtId="0" fontId="3" fillId="2" borderId="3" xfId="0" applyFont="1" applyFill="1" applyBorder="1"/>
    <xf numFmtId="0" fontId="6" fillId="2" borderId="18" xfId="0" applyFont="1" applyFill="1" applyBorder="1"/>
    <xf numFmtId="8" fontId="6" fillId="2" borderId="11" xfId="0" applyNumberFormat="1" applyFont="1" applyFill="1" applyBorder="1" applyAlignment="1">
      <alignment horizontal="right"/>
    </xf>
    <xf numFmtId="0" fontId="6" fillId="2" borderId="19" xfId="0" applyFont="1" applyFill="1" applyBorder="1" applyAlignment="1">
      <alignment horizontal="left"/>
    </xf>
    <xf numFmtId="0" fontId="6" fillId="2" borderId="12" xfId="0" applyFont="1" applyFill="1" applyBorder="1" applyAlignment="1">
      <alignment horizontal="left"/>
    </xf>
    <xf numFmtId="8" fontId="6" fillId="0" borderId="11" xfId="0" applyNumberFormat="1" applyFont="1" applyBorder="1" applyAlignment="1">
      <alignment horizontal="right"/>
    </xf>
    <xf numFmtId="0" fontId="6" fillId="0" borderId="19" xfId="0" applyFont="1" applyBorder="1" applyAlignment="1">
      <alignment horizontal="left"/>
    </xf>
    <xf numFmtId="0" fontId="6" fillId="2" borderId="73" xfId="0" applyFont="1" applyFill="1" applyBorder="1"/>
    <xf numFmtId="0" fontId="5" fillId="2" borderId="74" xfId="0" applyFont="1" applyFill="1" applyBorder="1"/>
    <xf numFmtId="0" fontId="6" fillId="2" borderId="74" xfId="0" applyFont="1" applyFill="1" applyBorder="1"/>
    <xf numFmtId="8" fontId="6" fillId="2" borderId="75" xfId="0" applyNumberFormat="1" applyFont="1" applyFill="1" applyBorder="1" applyAlignment="1">
      <alignment horizontal="right"/>
    </xf>
    <xf numFmtId="0" fontId="6" fillId="2" borderId="74" xfId="0" applyFont="1" applyFill="1" applyBorder="1" applyAlignment="1">
      <alignment horizontal="left"/>
    </xf>
    <xf numFmtId="0" fontId="6" fillId="2" borderId="76" xfId="0" applyFont="1" applyFill="1" applyBorder="1" applyAlignment="1">
      <alignment horizontal="left"/>
    </xf>
    <xf numFmtId="0" fontId="8" fillId="0" borderId="13" xfId="0" applyFont="1" applyFill="1" applyBorder="1" applyAlignment="1">
      <alignment horizontal="center"/>
    </xf>
    <xf numFmtId="0" fontId="8" fillId="2" borderId="13" xfId="0" applyFont="1" applyFill="1" applyBorder="1" applyAlignment="1">
      <alignment horizontal="center"/>
    </xf>
    <xf numFmtId="0" fontId="8" fillId="0" borderId="18" xfId="0" applyFont="1" applyFill="1" applyBorder="1" applyAlignment="1">
      <alignment horizontal="center"/>
    </xf>
    <xf numFmtId="0" fontId="8" fillId="0" borderId="73" xfId="0" applyFont="1" applyFill="1" applyBorder="1" applyAlignment="1">
      <alignment horizontal="center"/>
    </xf>
    <xf numFmtId="0" fontId="9" fillId="0" borderId="18" xfId="0" applyFont="1" applyFill="1" applyBorder="1" applyAlignment="1">
      <alignment horizontal="center"/>
    </xf>
    <xf numFmtId="0" fontId="8" fillId="2" borderId="2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8" fillId="0" borderId="14" xfId="0" applyFont="1" applyFill="1" applyBorder="1" applyAlignment="1">
      <alignment horizontal="center"/>
    </xf>
    <xf numFmtId="0" fontId="8" fillId="2" borderId="20" xfId="0" applyFont="1" applyFill="1" applyBorder="1" applyAlignment="1">
      <alignment horizontal="center"/>
    </xf>
    <xf numFmtId="0" fontId="8" fillId="0" borderId="0" xfId="0" applyFont="1" applyFill="1" applyAlignment="1">
      <alignment horizontal="center"/>
    </xf>
    <xf numFmtId="0" fontId="8" fillId="0" borderId="77" xfId="0" applyFont="1" applyFill="1" applyBorder="1" applyAlignment="1">
      <alignment horizontal="center"/>
    </xf>
    <xf numFmtId="0" fontId="8" fillId="0" borderId="78" xfId="0" applyFont="1" applyFill="1" applyBorder="1" applyAlignment="1">
      <alignment horizontal="center"/>
    </xf>
    <xf numFmtId="0" fontId="7" fillId="0" borderId="77" xfId="0" applyFont="1" applyFill="1" applyBorder="1" applyAlignment="1">
      <alignment horizontal="center"/>
    </xf>
    <xf numFmtId="0" fontId="8" fillId="0" borderId="27" xfId="0" applyFont="1" applyFill="1" applyBorder="1" applyAlignment="1">
      <alignment horizontal="center"/>
    </xf>
    <xf numFmtId="0" fontId="8" fillId="2" borderId="79" xfId="0" applyFont="1" applyFill="1" applyBorder="1" applyAlignment="1">
      <alignment horizontal="center"/>
    </xf>
    <xf numFmtId="0" fontId="7" fillId="0" borderId="78" xfId="0" applyFont="1" applyFill="1" applyBorder="1" applyAlignment="1">
      <alignment horizontal="center"/>
    </xf>
    <xf numFmtId="0" fontId="7" fillId="0" borderId="80" xfId="0" applyFont="1" applyFill="1" applyBorder="1" applyAlignment="1">
      <alignment horizontal="center"/>
    </xf>
    <xf numFmtId="0" fontId="8" fillId="2" borderId="32" xfId="0" applyFont="1" applyFill="1" applyBorder="1" applyAlignment="1">
      <alignment horizontal="center"/>
    </xf>
    <xf numFmtId="0" fontId="8" fillId="0" borderId="80" xfId="0" applyFont="1" applyFill="1" applyBorder="1" applyAlignment="1">
      <alignment horizontal="center"/>
    </xf>
    <xf numFmtId="0" fontId="6" fillId="2" borderId="32" xfId="0" applyFont="1" applyFill="1" applyBorder="1" applyAlignment="1">
      <alignment horizontal="center"/>
    </xf>
    <xf numFmtId="0" fontId="6" fillId="2" borderId="34" xfId="0" applyFont="1" applyFill="1" applyBorder="1" applyAlignment="1">
      <alignment horizontal="center"/>
    </xf>
    <xf numFmtId="0" fontId="8" fillId="2" borderId="39" xfId="0" applyFont="1" applyFill="1" applyBorder="1" applyAlignment="1">
      <alignment horizontal="center"/>
    </xf>
    <xf numFmtId="0" fontId="8" fillId="0" borderId="33" xfId="0" applyFont="1" applyFill="1" applyBorder="1" applyAlignment="1">
      <alignment horizontal="center"/>
    </xf>
    <xf numFmtId="0" fontId="5" fillId="2" borderId="32" xfId="0" applyFont="1" applyFill="1" applyBorder="1" applyAlignment="1">
      <alignment horizontal="left"/>
    </xf>
    <xf numFmtId="0" fontId="6" fillId="0" borderId="0" xfId="0" applyFont="1" applyAlignment="1">
      <alignment horizontal="right"/>
    </xf>
    <xf numFmtId="0" fontId="6" fillId="0" borderId="0" xfId="0" applyFont="1" applyAlignment="1">
      <alignment wrapText="1"/>
    </xf>
    <xf numFmtId="8" fontId="3" fillId="0" borderId="0" xfId="0" applyNumberFormat="1" applyFont="1" applyFill="1" applyBorder="1"/>
    <xf numFmtId="0" fontId="8"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9" fillId="0" borderId="0" xfId="0" applyFont="1" applyFill="1" applyBorder="1"/>
    <xf numFmtId="8" fontId="12" fillId="0" borderId="0" xfId="0" applyNumberFormat="1" applyFont="1" applyFill="1" applyBorder="1"/>
    <xf numFmtId="0" fontId="3" fillId="0" borderId="0" xfId="0" applyFont="1" applyFill="1" applyBorder="1"/>
    <xf numFmtId="8" fontId="4" fillId="0" borderId="0" xfId="0" applyNumberFormat="1" applyFont="1" applyFill="1" applyBorder="1"/>
    <xf numFmtId="0" fontId="6" fillId="3" borderId="81" xfId="0" applyFont="1" applyFill="1" applyBorder="1" applyAlignment="1">
      <alignment horizontal="left"/>
    </xf>
    <xf numFmtId="0" fontId="5" fillId="0" borderId="0" xfId="0" applyFont="1" applyFill="1" applyAlignment="1"/>
    <xf numFmtId="0" fontId="8" fillId="2" borderId="82" xfId="0" applyFont="1" applyFill="1" applyBorder="1" applyAlignment="1">
      <alignment horizontal="center"/>
    </xf>
    <xf numFmtId="0" fontId="6" fillId="2" borderId="82" xfId="0" applyFont="1" applyFill="1" applyBorder="1"/>
    <xf numFmtId="0" fontId="6" fillId="2" borderId="83" xfId="0" applyFont="1" applyFill="1" applyBorder="1"/>
    <xf numFmtId="0" fontId="6" fillId="2" borderId="84" xfId="0" applyFont="1" applyFill="1" applyBorder="1" applyAlignment="1">
      <alignment horizontal="left"/>
    </xf>
    <xf numFmtId="0" fontId="6" fillId="2" borderId="85" xfId="0" applyFont="1" applyFill="1" applyBorder="1" applyAlignment="1">
      <alignment horizontal="left"/>
    </xf>
    <xf numFmtId="0" fontId="8" fillId="2" borderId="86" xfId="0" applyFont="1" applyFill="1" applyBorder="1" applyAlignment="1">
      <alignment horizontal="center"/>
    </xf>
    <xf numFmtId="0" fontId="6" fillId="2" borderId="86" xfId="0" applyFont="1" applyFill="1" applyBorder="1"/>
    <xf numFmtId="0" fontId="6" fillId="2" borderId="87" xfId="0" applyFont="1" applyFill="1" applyBorder="1"/>
    <xf numFmtId="0" fontId="6" fillId="3" borderId="88" xfId="0" applyFont="1" applyFill="1" applyBorder="1" applyAlignment="1">
      <alignment horizontal="left"/>
    </xf>
    <xf numFmtId="0" fontId="6" fillId="3" borderId="89" xfId="0" applyFont="1" applyFill="1" applyBorder="1" applyAlignment="1">
      <alignment horizontal="left"/>
    </xf>
    <xf numFmtId="0" fontId="8" fillId="2" borderId="71" xfId="0" applyFont="1" applyFill="1" applyBorder="1" applyAlignment="1">
      <alignment horizontal="center"/>
    </xf>
    <xf numFmtId="0" fontId="5" fillId="2" borderId="90" xfId="0" applyFont="1" applyFill="1" applyBorder="1"/>
    <xf numFmtId="0" fontId="7" fillId="2" borderId="72" xfId="0" applyFont="1" applyFill="1" applyBorder="1"/>
    <xf numFmtId="0" fontId="5" fillId="2" borderId="72" xfId="0" applyFont="1" applyFill="1" applyBorder="1"/>
    <xf numFmtId="0" fontId="6" fillId="2" borderId="91" xfId="0" applyFont="1" applyFill="1" applyBorder="1" applyAlignment="1">
      <alignment horizontal="left"/>
    </xf>
    <xf numFmtId="0" fontId="6" fillId="2" borderId="92" xfId="0" applyFont="1" applyFill="1" applyBorder="1" applyAlignment="1">
      <alignment horizontal="left"/>
    </xf>
    <xf numFmtId="0" fontId="6" fillId="3" borderId="80" xfId="0" applyFont="1" applyFill="1" applyBorder="1" applyAlignment="1">
      <alignment horizontal="left"/>
    </xf>
    <xf numFmtId="0" fontId="6" fillId="3" borderId="27" xfId="0" applyFont="1" applyFill="1" applyBorder="1" applyAlignment="1">
      <alignment horizontal="left"/>
    </xf>
    <xf numFmtId="0" fontId="6" fillId="0" borderId="27" xfId="0" applyFont="1" applyBorder="1" applyAlignment="1">
      <alignment horizontal="left"/>
    </xf>
    <xf numFmtId="0" fontId="6" fillId="0" borderId="78" xfId="0" applyFont="1" applyBorder="1" applyAlignment="1">
      <alignment horizontal="left"/>
    </xf>
    <xf numFmtId="0" fontId="9" fillId="0" borderId="78" xfId="0" applyFont="1" applyBorder="1" applyAlignment="1">
      <alignment horizontal="left"/>
    </xf>
    <xf numFmtId="0" fontId="6" fillId="2" borderId="79" xfId="0" applyFont="1" applyFill="1" applyBorder="1" applyAlignment="1">
      <alignment horizontal="left"/>
    </xf>
    <xf numFmtId="49" fontId="9" fillId="0" borderId="78" xfId="0" applyNumberFormat="1" applyFont="1" applyBorder="1" applyAlignment="1">
      <alignment horizontal="left"/>
    </xf>
    <xf numFmtId="49" fontId="7" fillId="0" borderId="0" xfId="0" applyNumberFormat="1" applyFont="1" applyAlignment="1">
      <alignment horizontal="centerContinuous"/>
    </xf>
    <xf numFmtId="49" fontId="8" fillId="3" borderId="70" xfId="0" applyNumberFormat="1" applyFont="1" applyFill="1" applyBorder="1" applyAlignment="1">
      <alignment horizontal="left"/>
    </xf>
    <xf numFmtId="49" fontId="8" fillId="3" borderId="80" xfId="0" applyNumberFormat="1" applyFont="1" applyFill="1" applyBorder="1" applyAlignment="1">
      <alignment horizontal="left"/>
    </xf>
    <xf numFmtId="49" fontId="8" fillId="3" borderId="27" xfId="0" applyNumberFormat="1" applyFont="1" applyFill="1" applyBorder="1" applyAlignment="1">
      <alignment horizontal="left"/>
    </xf>
    <xf numFmtId="49" fontId="8" fillId="0" borderId="27" xfId="0" applyNumberFormat="1" applyFont="1" applyBorder="1" applyAlignment="1">
      <alignment horizontal="left"/>
    </xf>
    <xf numFmtId="49" fontId="8" fillId="0" borderId="78" xfId="0" applyNumberFormat="1" applyFont="1" applyBorder="1" applyAlignment="1">
      <alignment horizontal="left"/>
    </xf>
    <xf numFmtId="49" fontId="8" fillId="2" borderId="79" xfId="0" applyNumberFormat="1" applyFont="1" applyFill="1" applyBorder="1" applyAlignment="1">
      <alignment horizontal="left"/>
    </xf>
    <xf numFmtId="49" fontId="8" fillId="2" borderId="93" xfId="0" applyNumberFormat="1" applyFont="1" applyFill="1" applyBorder="1" applyAlignment="1">
      <alignment horizontal="left"/>
    </xf>
    <xf numFmtId="49" fontId="8" fillId="0" borderId="0" xfId="0" applyNumberFormat="1" applyFont="1" applyFill="1" applyBorder="1"/>
    <xf numFmtId="49" fontId="8" fillId="0" borderId="0" xfId="0" applyNumberFormat="1" applyFont="1"/>
    <xf numFmtId="0" fontId="6" fillId="0" borderId="77" xfId="0" applyFont="1" applyBorder="1" applyAlignment="1">
      <alignment horizontal="left"/>
    </xf>
    <xf numFmtId="0" fontId="5" fillId="3" borderId="78" xfId="0" applyFont="1" applyFill="1" applyBorder="1" applyAlignment="1">
      <alignment horizontal="left"/>
    </xf>
    <xf numFmtId="0" fontId="5" fillId="3" borderId="80" xfId="0" applyFont="1" applyFill="1" applyBorder="1" applyAlignment="1">
      <alignment horizontal="left"/>
    </xf>
    <xf numFmtId="0" fontId="5" fillId="3" borderId="27" xfId="0" applyFont="1" applyFill="1" applyBorder="1" applyAlignment="1">
      <alignment horizontal="left"/>
    </xf>
    <xf numFmtId="0" fontId="6" fillId="2" borderId="32" xfId="0" applyFont="1" applyFill="1" applyBorder="1" applyAlignment="1">
      <alignment horizontal="left"/>
    </xf>
    <xf numFmtId="0" fontId="6" fillId="0" borderId="80" xfId="0" applyFont="1" applyBorder="1" applyAlignment="1">
      <alignment horizontal="left"/>
    </xf>
    <xf numFmtId="0" fontId="6" fillId="3" borderId="77" xfId="0" applyFont="1" applyFill="1" applyBorder="1" applyAlignment="1">
      <alignment horizontal="left"/>
    </xf>
    <xf numFmtId="0" fontId="6" fillId="0" borderId="27" xfId="0" applyFont="1" applyFill="1" applyBorder="1" applyAlignment="1">
      <alignment horizontal="left"/>
    </xf>
    <xf numFmtId="0" fontId="6" fillId="0" borderId="80" xfId="0" applyFont="1" applyFill="1" applyBorder="1" applyAlignment="1">
      <alignment horizontal="left"/>
    </xf>
    <xf numFmtId="0" fontId="6" fillId="3" borderId="32" xfId="0" applyFont="1" applyFill="1" applyBorder="1" applyAlignment="1">
      <alignment horizontal="left"/>
    </xf>
    <xf numFmtId="0" fontId="6" fillId="3" borderId="34" xfId="0" applyFont="1" applyFill="1" applyBorder="1" applyAlignment="1">
      <alignment horizontal="left"/>
    </xf>
    <xf numFmtId="0" fontId="6" fillId="2" borderId="39" xfId="0" applyFont="1" applyFill="1" applyBorder="1" applyAlignment="1">
      <alignment horizontal="left"/>
    </xf>
    <xf numFmtId="0" fontId="5" fillId="3" borderId="32" xfId="0" applyFont="1" applyFill="1" applyBorder="1" applyAlignment="1">
      <alignment horizontal="left"/>
    </xf>
    <xf numFmtId="0" fontId="6" fillId="2" borderId="71" xfId="0" applyFont="1" applyFill="1" applyBorder="1" applyAlignment="1">
      <alignment horizontal="left"/>
    </xf>
    <xf numFmtId="0" fontId="6" fillId="3" borderId="94" xfId="0" applyFont="1" applyFill="1" applyBorder="1" applyAlignment="1">
      <alignment horizontal="left"/>
    </xf>
    <xf numFmtId="0" fontId="6" fillId="3" borderId="78" xfId="0" applyFont="1" applyFill="1" applyBorder="1" applyAlignment="1">
      <alignment horizontal="left"/>
    </xf>
    <xf numFmtId="0" fontId="6" fillId="0" borderId="78" xfId="0" applyFont="1" applyFill="1" applyBorder="1" applyAlignment="1">
      <alignment horizontal="left"/>
    </xf>
    <xf numFmtId="0" fontId="3" fillId="2" borderId="32" xfId="0" applyFont="1" applyFill="1" applyBorder="1" applyAlignment="1">
      <alignment horizontal="center"/>
    </xf>
    <xf numFmtId="0" fontId="0" fillId="4" borderId="0" xfId="0" applyFill="1"/>
    <xf numFmtId="0" fontId="5" fillId="0" borderId="0" xfId="0" applyFont="1" applyFill="1" applyAlignment="1">
      <alignment horizontal="center"/>
    </xf>
    <xf numFmtId="0" fontId="0" fillId="5" borderId="95" xfId="0" applyFill="1" applyBorder="1"/>
    <xf numFmtId="0" fontId="21" fillId="5" borderId="0" xfId="2" applyFont="1" applyFill="1" applyBorder="1" applyAlignment="1" applyProtection="1">
      <alignment horizontal="left" vertical="center" wrapText="1"/>
    </xf>
    <xf numFmtId="0" fontId="13" fillId="5" borderId="96" xfId="2" applyFill="1" applyBorder="1" applyAlignment="1" applyProtection="1">
      <alignment horizontal="justify" vertical="center"/>
    </xf>
    <xf numFmtId="0" fontId="0" fillId="5" borderId="0" xfId="0" applyFill="1" applyBorder="1"/>
    <xf numFmtId="0" fontId="14" fillId="5" borderId="96" xfId="0" applyFont="1" applyFill="1" applyBorder="1" applyAlignment="1">
      <alignment horizontal="justify" vertical="center"/>
    </xf>
    <xf numFmtId="0" fontId="0" fillId="5" borderId="97" xfId="0" applyFill="1" applyBorder="1"/>
    <xf numFmtId="0" fontId="0" fillId="5" borderId="35" xfId="0" applyFill="1" applyBorder="1"/>
    <xf numFmtId="0" fontId="0" fillId="5" borderId="98" xfId="0" applyFill="1" applyBorder="1"/>
    <xf numFmtId="0" fontId="7" fillId="6" borderId="0" xfId="0" applyFont="1" applyFill="1" applyAlignment="1">
      <alignment horizontal="left"/>
    </xf>
    <xf numFmtId="0" fontId="5" fillId="6" borderId="0" xfId="0" applyFont="1" applyFill="1" applyBorder="1" applyAlignment="1">
      <alignment horizontal="centerContinuous"/>
    </xf>
    <xf numFmtId="0" fontId="22" fillId="6" borderId="0" xfId="0" applyFont="1" applyFill="1" applyAlignment="1">
      <alignment horizontal="left"/>
    </xf>
    <xf numFmtId="0" fontId="23" fillId="6" borderId="0" xfId="0" applyFont="1" applyFill="1" applyBorder="1" applyAlignment="1">
      <alignment horizontal="centerContinuous"/>
    </xf>
    <xf numFmtId="0" fontId="23" fillId="6" borderId="0" xfId="0" applyFont="1" applyFill="1" applyAlignment="1">
      <alignment horizontal="left"/>
    </xf>
    <xf numFmtId="0" fontId="23" fillId="6" borderId="0" xfId="0" applyFont="1" applyFill="1" applyAlignment="1">
      <alignment horizontal="centerContinuous"/>
    </xf>
    <xf numFmtId="0" fontId="5" fillId="6" borderId="0" xfId="0" applyFont="1" applyFill="1" applyAlignment="1">
      <alignment horizontal="centerContinuous"/>
    </xf>
    <xf numFmtId="0" fontId="14" fillId="5" borderId="0" xfId="0" applyFont="1" applyFill="1" applyBorder="1" applyAlignment="1">
      <alignment vertical="top" wrapText="1"/>
    </xf>
    <xf numFmtId="164" fontId="0" fillId="0" borderId="60" xfId="1" applyNumberFormat="1" applyFont="1" applyBorder="1" applyAlignment="1">
      <alignment vertical="center"/>
    </xf>
    <xf numFmtId="0" fontId="3" fillId="5" borderId="99" xfId="2" applyFont="1" applyFill="1" applyBorder="1" applyAlignment="1" applyProtection="1">
      <alignment horizontal="justify" vertical="center"/>
    </xf>
    <xf numFmtId="0" fontId="14" fillId="5" borderId="100" xfId="0" applyFont="1" applyFill="1" applyBorder="1" applyAlignment="1">
      <alignment horizontal="left" vertical="center" wrapText="1"/>
    </xf>
    <xf numFmtId="0" fontId="0" fillId="5" borderId="101" xfId="0" applyFill="1" applyBorder="1"/>
    <xf numFmtId="0" fontId="14" fillId="5" borderId="102" xfId="0" applyFont="1" applyFill="1" applyBorder="1" applyAlignment="1">
      <alignment horizontal="left" vertical="center" wrapText="1"/>
    </xf>
    <xf numFmtId="0" fontId="0" fillId="5" borderId="103" xfId="0" applyFill="1" applyBorder="1"/>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24" fillId="5" borderId="0" xfId="0" applyFont="1" applyFill="1" applyBorder="1" applyAlignment="1">
      <alignment vertical="top" wrapText="1"/>
    </xf>
    <xf numFmtId="0" fontId="24" fillId="5" borderId="96" xfId="0" applyFont="1" applyFill="1" applyBorder="1" applyAlignment="1">
      <alignment horizontal="left" vertical="top" wrapText="1"/>
    </xf>
    <xf numFmtId="0" fontId="24" fillId="5" borderId="0" xfId="0" applyFont="1" applyFill="1" applyBorder="1" applyAlignment="1">
      <alignment horizontal="left" vertical="top" wrapText="1"/>
    </xf>
    <xf numFmtId="0" fontId="26" fillId="0" borderId="0" xfId="4" applyFont="1" applyFill="1" applyBorder="1" applyAlignment="1">
      <alignment horizontal="center"/>
    </xf>
    <xf numFmtId="165" fontId="6" fillId="0" borderId="27" xfId="5" applyNumberFormat="1" applyFont="1" applyBorder="1" applyAlignment="1">
      <alignment horizontal="left"/>
    </xf>
    <xf numFmtId="165" fontId="5" fillId="0" borderId="0" xfId="5" applyNumberFormat="1" applyFont="1" applyAlignment="1">
      <alignment horizontal="right"/>
    </xf>
    <xf numFmtId="165" fontId="5" fillId="0" borderId="0" xfId="5" applyNumberFormat="1" applyFont="1" applyFill="1" applyAlignment="1">
      <alignment horizontal="center"/>
    </xf>
    <xf numFmtId="165" fontId="6" fillId="3" borderId="70" xfId="5" applyNumberFormat="1" applyFont="1" applyFill="1" applyBorder="1" applyAlignment="1">
      <alignment horizontal="left"/>
    </xf>
    <xf numFmtId="165" fontId="6" fillId="3" borderId="80" xfId="5" applyNumberFormat="1" applyFont="1" applyFill="1" applyBorder="1" applyAlignment="1">
      <alignment horizontal="left"/>
    </xf>
    <xf numFmtId="165" fontId="6" fillId="3" borderId="27" xfId="5" applyNumberFormat="1" applyFont="1" applyFill="1" applyBorder="1" applyAlignment="1">
      <alignment horizontal="left"/>
    </xf>
    <xf numFmtId="165" fontId="6" fillId="0" borderId="78" xfId="5" applyNumberFormat="1" applyFont="1" applyBorder="1" applyAlignment="1">
      <alignment horizontal="left"/>
    </xf>
    <xf numFmtId="165" fontId="9" fillId="0" borderId="78" xfId="5" applyNumberFormat="1" applyFont="1" applyBorder="1" applyAlignment="1">
      <alignment horizontal="left"/>
    </xf>
    <xf numFmtId="165" fontId="6" fillId="2" borderId="79" xfId="5" applyNumberFormat="1" applyFont="1" applyFill="1" applyBorder="1" applyAlignment="1">
      <alignment horizontal="left"/>
    </xf>
    <xf numFmtId="165" fontId="6" fillId="2" borderId="93" xfId="5" applyNumberFormat="1" applyFont="1" applyFill="1" applyBorder="1" applyAlignment="1">
      <alignment horizontal="left"/>
    </xf>
    <xf numFmtId="165" fontId="6" fillId="0" borderId="0" xfId="5" applyNumberFormat="1" applyFont="1" applyFill="1" applyBorder="1" applyAlignment="1">
      <alignment horizontal="right"/>
    </xf>
    <xf numFmtId="165" fontId="6" fillId="3" borderId="94" xfId="5" applyNumberFormat="1" applyFont="1" applyFill="1" applyBorder="1" applyAlignment="1">
      <alignment horizontal="left"/>
    </xf>
    <xf numFmtId="165" fontId="6" fillId="3" borderId="78" xfId="5" applyNumberFormat="1" applyFont="1" applyFill="1" applyBorder="1" applyAlignment="1">
      <alignment horizontal="left"/>
    </xf>
    <xf numFmtId="165" fontId="6" fillId="0" borderId="80" xfId="5" applyNumberFormat="1" applyFont="1" applyFill="1" applyBorder="1" applyAlignment="1">
      <alignment horizontal="left"/>
    </xf>
    <xf numFmtId="165" fontId="6" fillId="0" borderId="78" xfId="5" applyNumberFormat="1" applyFont="1" applyFill="1" applyBorder="1" applyAlignment="1">
      <alignment horizontal="left"/>
    </xf>
    <xf numFmtId="165" fontId="6" fillId="2" borderId="32" xfId="5" applyNumberFormat="1" applyFont="1" applyFill="1" applyBorder="1" applyAlignment="1">
      <alignment horizontal="left"/>
    </xf>
    <xf numFmtId="165" fontId="6" fillId="0" borderId="37" xfId="5" applyNumberFormat="1" applyFont="1" applyBorder="1" applyAlignment="1">
      <alignment horizontal="left"/>
    </xf>
    <xf numFmtId="165" fontId="6" fillId="0" borderId="0" xfId="5" applyNumberFormat="1" applyFont="1" applyBorder="1" applyAlignment="1">
      <alignment horizontal="left"/>
    </xf>
    <xf numFmtId="165" fontId="6" fillId="0" borderId="77" xfId="5" applyNumberFormat="1" applyFont="1" applyBorder="1" applyAlignment="1">
      <alignment horizontal="left"/>
    </xf>
    <xf numFmtId="165" fontId="5" fillId="3" borderId="78" xfId="5" applyNumberFormat="1" applyFont="1" applyFill="1" applyBorder="1" applyAlignment="1">
      <alignment horizontal="left"/>
    </xf>
    <xf numFmtId="165" fontId="5" fillId="3" borderId="80" xfId="5" applyNumberFormat="1" applyFont="1" applyFill="1" applyBorder="1" applyAlignment="1">
      <alignment horizontal="left"/>
    </xf>
    <xf numFmtId="165" fontId="5" fillId="3" borderId="27" xfId="5" applyNumberFormat="1" applyFont="1" applyFill="1" applyBorder="1" applyAlignment="1">
      <alignment horizontal="left"/>
    </xf>
    <xf numFmtId="165" fontId="6" fillId="0" borderId="80" xfId="5" applyNumberFormat="1" applyFont="1" applyBorder="1" applyAlignment="1">
      <alignment horizontal="left"/>
    </xf>
    <xf numFmtId="165" fontId="6" fillId="3" borderId="77" xfId="5" applyNumberFormat="1" applyFont="1" applyFill="1" applyBorder="1" applyAlignment="1">
      <alignment horizontal="left"/>
    </xf>
    <xf numFmtId="165" fontId="6" fillId="0" borderId="27" xfId="5" applyNumberFormat="1" applyFont="1" applyFill="1" applyBorder="1" applyAlignment="1">
      <alignment horizontal="left"/>
    </xf>
    <xf numFmtId="165" fontId="6" fillId="3" borderId="32" xfId="5" applyNumberFormat="1" applyFont="1" applyFill="1" applyBorder="1" applyAlignment="1">
      <alignment horizontal="left"/>
    </xf>
    <xf numFmtId="165" fontId="6" fillId="3" borderId="34" xfId="5" applyNumberFormat="1" applyFont="1" applyFill="1" applyBorder="1" applyAlignment="1">
      <alignment horizontal="left"/>
    </xf>
    <xf numFmtId="165" fontId="6" fillId="2" borderId="39" xfId="5" applyNumberFormat="1" applyFont="1" applyFill="1" applyBorder="1" applyAlignment="1">
      <alignment horizontal="left"/>
    </xf>
    <xf numFmtId="165" fontId="5" fillId="3" borderId="32" xfId="5" applyNumberFormat="1" applyFont="1" applyFill="1" applyBorder="1" applyAlignment="1">
      <alignment horizontal="left"/>
    </xf>
    <xf numFmtId="165" fontId="6" fillId="2" borderId="71" xfId="5" applyNumberFormat="1" applyFont="1" applyFill="1" applyBorder="1" applyAlignment="1">
      <alignment horizontal="left"/>
    </xf>
    <xf numFmtId="165" fontId="6" fillId="0" borderId="0" xfId="5" applyNumberFormat="1" applyFont="1" applyAlignment="1">
      <alignment horizontal="right"/>
    </xf>
    <xf numFmtId="0" fontId="0" fillId="0" borderId="0" xfId="0" applyAlignment="1">
      <alignment horizontal="right"/>
    </xf>
    <xf numFmtId="9" fontId="0" fillId="0" borderId="0" xfId="6" applyFont="1"/>
    <xf numFmtId="0" fontId="14" fillId="0" borderId="60" xfId="7" applyFont="1" applyFill="1" applyBorder="1"/>
    <xf numFmtId="164" fontId="27" fillId="8" borderId="60" xfId="8" applyNumberFormat="1" applyFont="1" applyFill="1" applyBorder="1" applyAlignment="1">
      <alignment horizontal="right" wrapText="1"/>
    </xf>
    <xf numFmtId="0" fontId="28" fillId="0" borderId="60" xfId="7" applyFont="1" applyFill="1" applyBorder="1" applyAlignment="1">
      <alignment wrapText="1"/>
    </xf>
    <xf numFmtId="0" fontId="28" fillId="0" borderId="60" xfId="7" applyFont="1" applyFill="1" applyBorder="1" applyAlignment="1">
      <alignment horizontal="center"/>
    </xf>
    <xf numFmtId="164" fontId="28" fillId="8" borderId="60" xfId="8" applyNumberFormat="1" applyFont="1" applyFill="1" applyBorder="1" applyAlignment="1">
      <alignment horizontal="right"/>
    </xf>
    <xf numFmtId="0" fontId="27" fillId="0" borderId="60" xfId="7" applyFont="1" applyFill="1" applyBorder="1"/>
    <xf numFmtId="164" fontId="14" fillId="8" borderId="60" xfId="8" applyNumberFormat="1" applyFont="1" applyFill="1" applyBorder="1"/>
    <xf numFmtId="0" fontId="29" fillId="0" borderId="60" xfId="7" applyFont="1" applyFill="1" applyBorder="1"/>
    <xf numFmtId="164" fontId="14" fillId="8" borderId="60" xfId="8" applyNumberFormat="1" applyFont="1" applyFill="1" applyBorder="1" applyAlignment="1">
      <alignment horizontal="center"/>
    </xf>
    <xf numFmtId="0" fontId="14" fillId="0" borderId="60" xfId="7" applyFont="1" applyFill="1" applyBorder="1" applyAlignment="1">
      <alignment horizontal="left"/>
    </xf>
    <xf numFmtId="164" fontId="14" fillId="8" borderId="60" xfId="8" applyNumberFormat="1" applyFont="1" applyFill="1" applyBorder="1" applyAlignment="1">
      <alignment horizontal="right"/>
    </xf>
    <xf numFmtId="0" fontId="29" fillId="0" borderId="60" xfId="7" applyFont="1" applyFill="1" applyBorder="1" applyAlignment="1">
      <alignment horizontal="left"/>
    </xf>
    <xf numFmtId="0" fontId="26" fillId="0" borderId="60" xfId="9" applyFont="1" applyFill="1" applyBorder="1" applyAlignment="1">
      <alignment horizontal="left"/>
    </xf>
    <xf numFmtId="164" fontId="28" fillId="8" borderId="60" xfId="8" applyNumberFormat="1" applyFont="1" applyFill="1" applyBorder="1" applyAlignment="1">
      <alignment horizontal="center"/>
    </xf>
    <xf numFmtId="0" fontId="26" fillId="0" borderId="60" xfId="9" applyFont="1" applyFill="1" applyBorder="1"/>
    <xf numFmtId="0" fontId="0" fillId="0" borderId="0" xfId="0" applyAlignment="1">
      <alignment wrapText="1"/>
    </xf>
    <xf numFmtId="0" fontId="4" fillId="0" borderId="0" xfId="0" applyFont="1" applyAlignment="1">
      <alignment wrapText="1"/>
    </xf>
    <xf numFmtId="0" fontId="6" fillId="0" borderId="3" xfId="0" applyFont="1" applyBorder="1" applyAlignment="1">
      <alignment wrapText="1"/>
    </xf>
    <xf numFmtId="0" fontId="6" fillId="0" borderId="0" xfId="0" applyFont="1" applyFill="1" applyBorder="1" applyAlignment="1">
      <alignment wrapText="1"/>
    </xf>
    <xf numFmtId="44" fontId="0" fillId="0" borderId="0" xfId="1" applyFont="1"/>
    <xf numFmtId="165" fontId="3" fillId="0" borderId="9" xfId="5" applyNumberFormat="1" applyFont="1" applyBorder="1"/>
    <xf numFmtId="165" fontId="3" fillId="0" borderId="10" xfId="5" applyNumberFormat="1" applyFont="1" applyBorder="1"/>
    <xf numFmtId="10" fontId="6" fillId="0" borderId="27" xfId="0" applyNumberFormat="1" applyFont="1" applyBorder="1" applyAlignment="1">
      <alignment horizontal="left"/>
    </xf>
    <xf numFmtId="165" fontId="3" fillId="0" borderId="50" xfId="5" applyNumberFormat="1" applyFont="1" applyBorder="1"/>
    <xf numFmtId="165" fontId="5" fillId="0" borderId="0" xfId="5" applyNumberFormat="1" applyFont="1" applyAlignment="1">
      <alignment horizontal="centerContinuous"/>
    </xf>
    <xf numFmtId="165" fontId="3" fillId="3" borderId="45" xfId="5" applyNumberFormat="1" applyFont="1" applyFill="1" applyBorder="1"/>
    <xf numFmtId="165" fontId="3" fillId="3" borderId="48" xfId="5" applyNumberFormat="1" applyFont="1" applyFill="1" applyBorder="1"/>
    <xf numFmtId="165" fontId="3" fillId="3" borderId="50" xfId="5" applyNumberFormat="1" applyFont="1" applyFill="1" applyBorder="1"/>
    <xf numFmtId="165" fontId="3" fillId="0" borderId="53" xfId="5" applyNumberFormat="1" applyFont="1" applyBorder="1"/>
    <xf numFmtId="165" fontId="12" fillId="0" borderId="53" xfId="5" applyNumberFormat="1" applyFont="1" applyBorder="1"/>
    <xf numFmtId="165" fontId="3" fillId="2" borderId="55" xfId="5" applyNumberFormat="1" applyFont="1" applyFill="1" applyBorder="1"/>
    <xf numFmtId="165" fontId="6" fillId="0" borderId="0" xfId="5" applyNumberFormat="1" applyFont="1" applyFill="1" applyBorder="1"/>
    <xf numFmtId="165" fontId="3" fillId="0" borderId="53" xfId="5" applyNumberFormat="1" applyFont="1" applyFill="1" applyBorder="1"/>
    <xf numFmtId="165" fontId="3" fillId="2" borderId="56" xfId="5" applyNumberFormat="1" applyFont="1" applyFill="1" applyBorder="1"/>
    <xf numFmtId="165" fontId="3" fillId="0" borderId="0" xfId="5" applyNumberFormat="1" applyFont="1"/>
    <xf numFmtId="165" fontId="3" fillId="0" borderId="5" xfId="5" applyNumberFormat="1" applyFont="1" applyBorder="1"/>
    <xf numFmtId="165" fontId="4" fillId="3" borderId="11" xfId="5" applyNumberFormat="1" applyFont="1" applyFill="1" applyBorder="1"/>
    <xf numFmtId="165" fontId="4" fillId="3" borderId="7" xfId="5" applyNumberFormat="1" applyFont="1" applyFill="1" applyBorder="1"/>
    <xf numFmtId="165" fontId="3" fillId="3" borderId="9" xfId="5" applyNumberFormat="1" applyFont="1" applyFill="1" applyBorder="1"/>
    <xf numFmtId="165" fontId="3" fillId="2" borderId="25" xfId="5" applyNumberFormat="1" applyFont="1" applyFill="1" applyBorder="1"/>
    <xf numFmtId="165" fontId="3" fillId="0" borderId="11" xfId="5" applyNumberFormat="1" applyFont="1" applyBorder="1"/>
    <xf numFmtId="165" fontId="4" fillId="3" borderId="9" xfId="5" applyNumberFormat="1" applyFont="1" applyFill="1" applyBorder="1"/>
    <xf numFmtId="165" fontId="3" fillId="2" borderId="21" xfId="5" applyNumberFormat="1" applyFont="1" applyFill="1" applyBorder="1"/>
    <xf numFmtId="165" fontId="3" fillId="0" borderId="7" xfId="5" applyNumberFormat="1" applyFont="1" applyBorder="1"/>
    <xf numFmtId="165" fontId="3" fillId="3" borderId="5" xfId="5" applyNumberFormat="1" applyFont="1" applyFill="1" applyBorder="1"/>
    <xf numFmtId="165" fontId="3" fillId="3" borderId="7" xfId="5" applyNumberFormat="1" applyFont="1" applyFill="1" applyBorder="1"/>
    <xf numFmtId="165" fontId="3" fillId="0" borderId="7" xfId="5" applyNumberFormat="1" applyFont="1" applyFill="1" applyBorder="1"/>
    <xf numFmtId="165" fontId="3" fillId="3" borderId="21" xfId="5" applyNumberFormat="1" applyFont="1" applyFill="1" applyBorder="1"/>
    <xf numFmtId="165" fontId="3" fillId="3" borderId="43" xfId="5" applyNumberFormat="1" applyFont="1" applyFill="1" applyBorder="1"/>
    <xf numFmtId="165" fontId="3" fillId="2" borderId="40" xfId="5" applyNumberFormat="1" applyFont="1" applyFill="1" applyBorder="1"/>
    <xf numFmtId="165" fontId="4" fillId="3" borderId="21" xfId="5" applyNumberFormat="1" applyFont="1" applyFill="1" applyBorder="1"/>
    <xf numFmtId="165" fontId="6" fillId="0" borderId="0" xfId="5" applyNumberFormat="1" applyFont="1"/>
    <xf numFmtId="165" fontId="3" fillId="0" borderId="51" xfId="5" applyNumberFormat="1" applyFont="1" applyBorder="1"/>
    <xf numFmtId="165" fontId="3" fillId="3" borderId="46" xfId="5" applyNumberFormat="1" applyFont="1" applyFill="1" applyBorder="1"/>
    <xf numFmtId="165" fontId="3" fillId="3" borderId="49" xfId="5" applyNumberFormat="1" applyFont="1" applyFill="1" applyBorder="1"/>
    <xf numFmtId="165" fontId="3" fillId="3" borderId="51" xfId="5" applyNumberFormat="1" applyFont="1" applyFill="1" applyBorder="1"/>
    <xf numFmtId="165" fontId="3" fillId="0" borderId="54" xfId="5" applyNumberFormat="1" applyFont="1" applyBorder="1"/>
    <xf numFmtId="165" fontId="12" fillId="0" borderId="54" xfId="5" applyNumberFormat="1" applyFont="1" applyBorder="1"/>
    <xf numFmtId="165" fontId="3" fillId="0" borderId="49" xfId="5" applyNumberFormat="1" applyFont="1" applyFill="1" applyBorder="1"/>
    <xf numFmtId="165" fontId="3" fillId="0" borderId="54" xfId="5" applyNumberFormat="1" applyFont="1" applyFill="1" applyBorder="1"/>
    <xf numFmtId="165" fontId="3" fillId="0" borderId="57" xfId="5" applyNumberFormat="1" applyFont="1" applyBorder="1"/>
    <xf numFmtId="165" fontId="4" fillId="3" borderId="54" xfId="5" applyNumberFormat="1" applyFont="1" applyFill="1" applyBorder="1"/>
    <xf numFmtId="165" fontId="4" fillId="3" borderId="49" xfId="5" applyNumberFormat="1" applyFont="1" applyFill="1" applyBorder="1"/>
    <xf numFmtId="165" fontId="3" fillId="2" borderId="60" xfId="5" applyNumberFormat="1" applyFont="1" applyFill="1" applyBorder="1"/>
    <xf numFmtId="165" fontId="4" fillId="3" borderId="51" xfId="5" applyNumberFormat="1" applyFont="1" applyFill="1" applyBorder="1"/>
    <xf numFmtId="165" fontId="3" fillId="2" borderId="58" xfId="5" applyNumberFormat="1" applyFont="1" applyFill="1" applyBorder="1"/>
    <xf numFmtId="165" fontId="3" fillId="0" borderId="49" xfId="5" applyNumberFormat="1" applyFont="1" applyBorder="1"/>
    <xf numFmtId="165" fontId="3" fillId="3" borderId="57" xfId="5" applyNumberFormat="1" applyFont="1" applyFill="1" applyBorder="1"/>
    <xf numFmtId="165" fontId="3" fillId="3" borderId="58" xfId="5" applyNumberFormat="1" applyFont="1" applyFill="1" applyBorder="1"/>
    <xf numFmtId="165" fontId="3" fillId="3" borderId="59" xfId="5" applyNumberFormat="1" applyFont="1" applyFill="1" applyBorder="1"/>
    <xf numFmtId="165" fontId="3" fillId="2" borderId="61" xfId="5" applyNumberFormat="1" applyFont="1" applyFill="1" applyBorder="1"/>
    <xf numFmtId="165" fontId="4" fillId="3" borderId="58" xfId="5" applyNumberFormat="1" applyFont="1" applyFill="1" applyBorder="1"/>
    <xf numFmtId="165" fontId="3" fillId="3" borderId="47" xfId="5" applyNumberFormat="1" applyFont="1" applyFill="1" applyBorder="1"/>
    <xf numFmtId="165" fontId="3" fillId="3" borderId="29" xfId="5" applyNumberFormat="1" applyFont="1" applyFill="1" applyBorder="1"/>
    <xf numFmtId="165" fontId="3" fillId="3" borderId="52" xfId="5" applyNumberFormat="1" applyFont="1" applyFill="1" applyBorder="1"/>
    <xf numFmtId="165" fontId="3" fillId="0" borderId="52" xfId="5" applyNumberFormat="1" applyFont="1" applyBorder="1"/>
    <xf numFmtId="165" fontId="3" fillId="0" borderId="28" xfId="5" applyNumberFormat="1" applyFont="1" applyBorder="1"/>
    <xf numFmtId="165" fontId="12" fillId="0" borderId="28" xfId="5" applyNumberFormat="1" applyFont="1" applyBorder="1"/>
    <xf numFmtId="165" fontId="3" fillId="2" borderId="24" xfId="5" applyNumberFormat="1" applyFont="1" applyFill="1" applyBorder="1"/>
    <xf numFmtId="165" fontId="3" fillId="3" borderId="8" xfId="5" applyNumberFormat="1" applyFont="1" applyFill="1" applyBorder="1"/>
    <xf numFmtId="165" fontId="3" fillId="3" borderId="10" xfId="5" applyNumberFormat="1" applyFont="1" applyFill="1" applyBorder="1"/>
    <xf numFmtId="165" fontId="12" fillId="0" borderId="12" xfId="5" applyNumberFormat="1" applyFont="1" applyBorder="1"/>
    <xf numFmtId="165" fontId="3" fillId="0" borderId="12" xfId="5" applyNumberFormat="1" applyFont="1" applyBorder="1"/>
    <xf numFmtId="165" fontId="3" fillId="2" borderId="26" xfId="5" applyNumberFormat="1" applyFont="1" applyFill="1" applyBorder="1"/>
    <xf numFmtId="165" fontId="3" fillId="0" borderId="8" xfId="5" applyNumberFormat="1" applyFont="1" applyFill="1" applyBorder="1"/>
    <xf numFmtId="165" fontId="3" fillId="0" borderId="12" xfId="5" applyNumberFormat="1" applyFont="1" applyFill="1" applyBorder="1"/>
    <xf numFmtId="165" fontId="3" fillId="2" borderId="22" xfId="5" applyNumberFormat="1" applyFont="1" applyFill="1" applyBorder="1"/>
    <xf numFmtId="165" fontId="3" fillId="0" borderId="6" xfId="5" applyNumberFormat="1" applyFont="1" applyBorder="1"/>
    <xf numFmtId="165" fontId="4" fillId="3" borderId="12" xfId="5" applyNumberFormat="1" applyFont="1" applyFill="1" applyBorder="1"/>
    <xf numFmtId="165" fontId="4" fillId="3" borderId="8" xfId="5" applyNumberFormat="1" applyFont="1" applyFill="1" applyBorder="1"/>
    <xf numFmtId="165" fontId="4" fillId="3" borderId="10" xfId="5" applyNumberFormat="1" applyFont="1" applyFill="1" applyBorder="1"/>
    <xf numFmtId="165" fontId="3" fillId="0" borderId="8" xfId="5" applyNumberFormat="1" applyFont="1" applyBorder="1"/>
    <xf numFmtId="165" fontId="3" fillId="3" borderId="6" xfId="5" applyNumberFormat="1" applyFont="1" applyFill="1" applyBorder="1"/>
    <xf numFmtId="165" fontId="3" fillId="3" borderId="22" xfId="5" applyNumberFormat="1" applyFont="1" applyFill="1" applyBorder="1"/>
    <xf numFmtId="165" fontId="3" fillId="3" borderId="44" xfId="5" applyNumberFormat="1" applyFont="1" applyFill="1" applyBorder="1"/>
    <xf numFmtId="165" fontId="3" fillId="2" borderId="41" xfId="5" applyNumberFormat="1" applyFont="1" applyFill="1" applyBorder="1"/>
    <xf numFmtId="165" fontId="4" fillId="3" borderId="22" xfId="5" applyNumberFormat="1" applyFont="1" applyFill="1" applyBorder="1"/>
    <xf numFmtId="165" fontId="0" fillId="0" borderId="0" xfId="5" applyNumberFormat="1" applyFont="1"/>
    <xf numFmtId="165" fontId="3" fillId="2" borderId="59" xfId="5" applyNumberFormat="1" applyFont="1" applyFill="1" applyBorder="1"/>
    <xf numFmtId="165" fontId="3" fillId="2" borderId="44" xfId="5" applyNumberFormat="1" applyFont="1" applyFill="1" applyBorder="1"/>
    <xf numFmtId="165" fontId="3" fillId="3" borderId="30" xfId="5" applyNumberFormat="1" applyFont="1" applyFill="1" applyBorder="1"/>
    <xf numFmtId="165" fontId="12" fillId="0" borderId="11" xfId="5" applyNumberFormat="1" applyFont="1" applyBorder="1"/>
    <xf numFmtId="165" fontId="3" fillId="0" borderId="11" xfId="5" applyNumberFormat="1" applyFont="1" applyFill="1" applyBorder="1"/>
    <xf numFmtId="165" fontId="3" fillId="0" borderId="37" xfId="5" applyNumberFormat="1" applyFont="1" applyBorder="1"/>
    <xf numFmtId="165" fontId="3" fillId="0" borderId="0" xfId="5" applyNumberFormat="1" applyFont="1" applyBorder="1"/>
    <xf numFmtId="165" fontId="3" fillId="3" borderId="31" xfId="5" applyNumberFormat="1" applyFont="1" applyFill="1" applyBorder="1"/>
    <xf numFmtId="8" fontId="0" fillId="0" borderId="0" xfId="0" applyNumberFormat="1" applyFont="1" applyFill="1" applyBorder="1"/>
    <xf numFmtId="0" fontId="0" fillId="0" borderId="0" xfId="0" applyAlignment="1">
      <alignment horizontal="center"/>
    </xf>
    <xf numFmtId="9" fontId="0" fillId="0" borderId="0" xfId="6" applyFont="1" applyAlignment="1">
      <alignment horizontal="center"/>
    </xf>
    <xf numFmtId="0" fontId="1" fillId="0" borderId="0" xfId="0" applyFont="1"/>
    <xf numFmtId="0" fontId="30" fillId="0" borderId="12" xfId="0" applyFont="1" applyBorder="1" applyAlignment="1">
      <alignment horizontal="left"/>
    </xf>
    <xf numFmtId="44" fontId="0" fillId="0" borderId="0" xfId="0" applyNumberFormat="1"/>
    <xf numFmtId="0" fontId="18" fillId="5" borderId="99" xfId="0" applyFont="1" applyFill="1" applyBorder="1" applyAlignment="1">
      <alignment horizontal="center" vertical="center" wrapText="1"/>
    </xf>
    <xf numFmtId="0" fontId="18" fillId="5" borderId="106" xfId="0" applyFont="1" applyFill="1" applyBorder="1" applyAlignment="1">
      <alignment horizontal="center" vertical="center" wrapText="1"/>
    </xf>
    <xf numFmtId="0" fontId="18" fillId="5" borderId="101" xfId="0" applyFont="1" applyFill="1" applyBorder="1" applyAlignment="1">
      <alignment horizontal="center" vertical="center" wrapText="1"/>
    </xf>
    <xf numFmtId="0" fontId="24" fillId="5" borderId="96" xfId="0" applyFont="1" applyFill="1" applyBorder="1" applyAlignment="1">
      <alignment horizontal="left" vertical="top" wrapText="1"/>
    </xf>
    <xf numFmtId="0" fontId="24" fillId="5" borderId="0" xfId="0" applyFont="1" applyFill="1" applyBorder="1" applyAlignment="1">
      <alignment horizontal="left" vertical="top" wrapText="1"/>
    </xf>
    <xf numFmtId="0" fontId="24" fillId="0" borderId="6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0" fillId="0" borderId="60" xfId="0" applyBorder="1" applyAlignment="1">
      <alignment horizontal="center" vertical="center"/>
    </xf>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16" fillId="0" borderId="0" xfId="0" applyFont="1" applyAlignment="1">
      <alignment horizontal="center"/>
    </xf>
    <xf numFmtId="0" fontId="14" fillId="5" borderId="104" xfId="0" applyFont="1" applyFill="1" applyBorder="1" applyAlignment="1">
      <alignment horizontal="left" vertical="center" wrapText="1"/>
    </xf>
    <xf numFmtId="0" fontId="14" fillId="5" borderId="37" xfId="0" applyFont="1" applyFill="1" applyBorder="1" applyAlignment="1">
      <alignment horizontal="left" vertical="center" wrapText="1"/>
    </xf>
    <xf numFmtId="0" fontId="14" fillId="5" borderId="105" xfId="0" applyFont="1" applyFill="1" applyBorder="1" applyAlignment="1">
      <alignment horizontal="left" vertical="center" wrapText="1"/>
    </xf>
    <xf numFmtId="0" fontId="18" fillId="5" borderId="106" xfId="0" applyFont="1" applyFill="1" applyBorder="1" applyAlignment="1">
      <alignment horizontal="center" vertical="top" wrapText="1"/>
    </xf>
    <xf numFmtId="0" fontId="0" fillId="0" borderId="60" xfId="0" applyFill="1" applyBorder="1" applyAlignment="1">
      <alignment horizontal="center" vertical="center"/>
    </xf>
    <xf numFmtId="0" fontId="14" fillId="5" borderId="99" xfId="0" applyFont="1" applyFill="1" applyBorder="1" applyAlignment="1">
      <alignment horizontal="left" vertical="center" wrapText="1"/>
    </xf>
    <xf numFmtId="0" fontId="14" fillId="5" borderId="106" xfId="0" applyFont="1" applyFill="1" applyBorder="1" applyAlignment="1">
      <alignment horizontal="left" vertical="center" wrapText="1"/>
    </xf>
    <xf numFmtId="0" fontId="19" fillId="5" borderId="96" xfId="0" applyFont="1" applyFill="1" applyBorder="1" applyAlignment="1">
      <alignment horizontal="left" vertical="top" wrapText="1"/>
    </xf>
    <xf numFmtId="0" fontId="19" fillId="5" borderId="0" xfId="0" applyFont="1" applyFill="1" applyBorder="1" applyAlignment="1">
      <alignment horizontal="left" vertical="top" wrapText="1"/>
    </xf>
    <xf numFmtId="0" fontId="6" fillId="5" borderId="96" xfId="0" applyFont="1" applyFill="1" applyBorder="1" applyAlignment="1">
      <alignment horizontal="left" vertical="center" wrapText="1"/>
    </xf>
    <xf numFmtId="0" fontId="6" fillId="5" borderId="0" xfId="0" applyFont="1" applyFill="1" applyBorder="1" applyAlignment="1">
      <alignment horizontal="left" vertical="center" wrapText="1"/>
    </xf>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7" fillId="0" borderId="3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7" xfId="0" applyFont="1" applyBorder="1" applyAlignment="1">
      <alignment horizontal="center" vertical="center" wrapText="1"/>
    </xf>
    <xf numFmtId="0" fontId="23" fillId="6"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left"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Border="1" applyAlignment="1">
      <alignment horizontal="center" vertical="center"/>
    </xf>
    <xf numFmtId="0" fontId="7" fillId="0" borderId="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67" xfId="0" applyFont="1" applyBorder="1" applyAlignment="1">
      <alignment horizontal="center" vertical="center" wrapText="1"/>
    </xf>
    <xf numFmtId="49" fontId="7" fillId="0" borderId="47" xfId="0" applyNumberFormat="1" applyFont="1" applyFill="1" applyBorder="1" applyAlignment="1">
      <alignment horizontal="center" vertical="center" wrapText="1"/>
    </xf>
    <xf numFmtId="49" fontId="8" fillId="0" borderId="108" xfId="0" applyNumberFormat="1" applyFont="1" applyFill="1" applyBorder="1" applyAlignment="1">
      <alignment vertical="center"/>
    </xf>
    <xf numFmtId="0" fontId="5" fillId="7" borderId="65"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55" xfId="0" applyFont="1" applyFill="1" applyBorder="1" applyAlignment="1">
      <alignment horizontal="left" vertical="center" wrapText="1"/>
    </xf>
    <xf numFmtId="165" fontId="7" fillId="0" borderId="70" xfId="5" applyNumberFormat="1" applyFont="1" applyBorder="1" applyAlignment="1">
      <alignment horizontal="center" vertical="center" wrapText="1"/>
    </xf>
    <xf numFmtId="165" fontId="7" fillId="0" borderId="77" xfId="5" applyNumberFormat="1" applyFont="1" applyBorder="1" applyAlignment="1">
      <alignment horizontal="center" vertical="center" wrapText="1"/>
    </xf>
    <xf numFmtId="0" fontId="5" fillId="7" borderId="60" xfId="0" applyFont="1" applyFill="1" applyBorder="1" applyAlignment="1">
      <alignment horizontal="left" wrapText="1"/>
    </xf>
    <xf numFmtId="165" fontId="5" fillId="0" borderId="70" xfId="5" applyNumberFormat="1" applyFont="1" applyBorder="1" applyAlignment="1">
      <alignment horizontal="center" vertical="center" wrapText="1"/>
    </xf>
    <xf numFmtId="165" fontId="0" fillId="0" borderId="77" xfId="5" applyNumberFormat="1" applyFont="1" applyBorder="1" applyAlignment="1">
      <alignment vertical="center"/>
    </xf>
    <xf numFmtId="0" fontId="6" fillId="0" borderId="0" xfId="0" applyFont="1" applyAlignment="1">
      <alignment wrapText="1"/>
    </xf>
    <xf numFmtId="0" fontId="7" fillId="0" borderId="6" xfId="0" applyFont="1" applyBorder="1" applyAlignment="1">
      <alignment horizontal="center" vertical="center" wrapText="1"/>
    </xf>
    <xf numFmtId="165" fontId="5" fillId="0" borderId="71" xfId="5" applyNumberFormat="1" applyFont="1" applyBorder="1" applyAlignment="1">
      <alignment horizontal="center" vertical="center" wrapText="1"/>
    </xf>
    <xf numFmtId="165" fontId="4" fillId="0" borderId="70" xfId="5" applyNumberFormat="1" applyFont="1" applyBorder="1" applyAlignment="1">
      <alignment horizontal="center" vertical="center" wrapText="1"/>
    </xf>
    <xf numFmtId="165" fontId="3" fillId="0" borderId="77" xfId="5" applyNumberFormat="1" applyFont="1" applyBorder="1" applyAlignment="1">
      <alignment vertical="center"/>
    </xf>
    <xf numFmtId="165" fontId="4" fillId="0" borderId="47" xfId="5" applyNumberFormat="1" applyFont="1" applyBorder="1" applyAlignment="1">
      <alignment horizontal="center" vertical="center" wrapText="1"/>
    </xf>
    <xf numFmtId="165" fontId="3" fillId="0" borderId="108" xfId="5" applyNumberFormat="1" applyFont="1" applyBorder="1" applyAlignment="1">
      <alignment vertical="center"/>
    </xf>
    <xf numFmtId="0" fontId="4" fillId="0" borderId="0" xfId="0" applyFont="1" applyAlignment="1">
      <alignment horizontal="center" wrapText="1"/>
    </xf>
  </cellXfs>
  <cellStyles count="144">
    <cellStyle name="Comma" xfId="5" builtinId="3"/>
    <cellStyle name="Currency" xfId="1" builtinId="4"/>
    <cellStyle name="Currency 10 2" xfId="8" xr:uid="{00000000-0005-0000-0000-000002000000}"/>
    <cellStyle name="Followed Hyperlink" xfId="3"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Hyperlink" xfId="2" builtinId="8"/>
    <cellStyle name="Normal" xfId="0" builtinId="0"/>
    <cellStyle name="Normal 2" xfId="4" xr:uid="{00000000-0005-0000-0000-00008C000000}"/>
    <cellStyle name="Normal 74" xfId="7" xr:uid="{00000000-0005-0000-0000-00008D000000}"/>
    <cellStyle name="Normal 75" xfId="9" xr:uid="{00000000-0005-0000-0000-00008E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695884</xdr:colOff>
      <xdr:row>0</xdr:row>
      <xdr:rowOff>63874</xdr:rowOff>
    </xdr:from>
    <xdr:to>
      <xdr:col>14</xdr:col>
      <xdr:colOff>896470</xdr:colOff>
      <xdr:row>0</xdr:row>
      <xdr:rowOff>692524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16355" y="63874"/>
          <a:ext cx="673361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1" u="sng">
              <a:solidFill>
                <a:schemeClr val="tx2">
                  <a:lumMod val="50000"/>
                </a:schemeClr>
              </a:solidFill>
            </a:rPr>
            <a:t>Fall 2017</a:t>
          </a:r>
          <a:r>
            <a:rPr lang="en-US" sz="2000" b="1" u="sng" baseline="0">
              <a:solidFill>
                <a:schemeClr val="tx2">
                  <a:lumMod val="50000"/>
                </a:schemeClr>
              </a:solidFill>
            </a:rPr>
            <a:t> </a:t>
          </a:r>
          <a:r>
            <a:rPr lang="en-US" sz="2000" b="1" u="sng">
              <a:solidFill>
                <a:schemeClr val="tx2">
                  <a:lumMod val="50000"/>
                </a:schemeClr>
              </a:solidFill>
            </a:rPr>
            <a:t>CHARTER</a:t>
          </a:r>
          <a:r>
            <a:rPr lang="en-US" sz="2000" b="1" u="sng" baseline="0">
              <a:solidFill>
                <a:schemeClr val="tx2">
                  <a:lumMod val="50000"/>
                </a:schemeClr>
              </a:solidFill>
            </a:rPr>
            <a:t> APPLICATION: FINANCES TEMPLATE</a:t>
          </a:r>
          <a:endParaRPr lang="en-US" sz="2000" b="1" u="none" baseline="0">
            <a:solidFill>
              <a:schemeClr val="tx2">
                <a:lumMod val="50000"/>
              </a:schemeClr>
            </a:solidFill>
          </a:endParaRPr>
        </a:p>
      </xdr:txBody>
    </xdr:sp>
    <xdr:clientData/>
  </xdr:twoCellAnchor>
  <xdr:twoCellAnchor editAs="oneCell">
    <xdr:from>
      <xdr:col>2</xdr:col>
      <xdr:colOff>66675</xdr:colOff>
      <xdr:row>0</xdr:row>
      <xdr:rowOff>66675</xdr:rowOff>
    </xdr:from>
    <xdr:to>
      <xdr:col>4</xdr:col>
      <xdr:colOff>28575</xdr:colOff>
      <xdr:row>2</xdr:row>
      <xdr:rowOff>66675</xdr:rowOff>
    </xdr:to>
    <xdr:pic>
      <xdr:nvPicPr>
        <xdr:cNvPr id="7184" name="Picture 3">
          <a:extLst>
            <a:ext uri="{FF2B5EF4-FFF2-40B4-BE49-F238E27FC236}">
              <a16:creationId xmlns:a16="http://schemas.microsoft.com/office/drawing/2014/main" id="{00000000-0008-0000-0000-00001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66675"/>
          <a:ext cx="1181100" cy="1190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www.doa.louisiana.gov/cdbg/lgap/laug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Q45"/>
  <sheetViews>
    <sheetView topLeftCell="A19" zoomScale="85" zoomScaleNormal="85" zoomScalePageLayoutView="85" workbookViewId="0">
      <selection activeCell="B8" sqref="B8:K17"/>
    </sheetView>
  </sheetViews>
  <sheetFormatPr baseColWidth="10" defaultColWidth="8.83203125" defaultRowHeight="13"/>
  <cols>
    <col min="5" max="5" width="11.6640625" customWidth="1"/>
    <col min="6" max="6" width="12.6640625" bestFit="1" customWidth="1"/>
    <col min="10" max="10" width="10.6640625" customWidth="1"/>
    <col min="12" max="12" width="5.1640625" customWidth="1"/>
    <col min="14" max="14" width="12.33203125" customWidth="1"/>
    <col min="15" max="16" width="13.83203125" customWidth="1"/>
    <col min="17" max="17" width="5.33203125" customWidth="1"/>
  </cols>
  <sheetData>
    <row r="1" spans="2:17" ht="68.25" customHeight="1"/>
    <row r="2" spans="2:17" ht="25">
      <c r="B2" s="472" t="s">
        <v>376</v>
      </c>
      <c r="C2" s="472"/>
      <c r="D2" s="472"/>
      <c r="E2" s="472"/>
      <c r="F2" s="472"/>
      <c r="G2" s="472"/>
      <c r="H2" s="472"/>
      <c r="I2" s="472"/>
      <c r="J2" s="472"/>
      <c r="K2" s="472"/>
      <c r="L2" s="472"/>
      <c r="M2" s="472"/>
      <c r="N2" s="472"/>
      <c r="O2" s="472"/>
      <c r="P2" s="472"/>
      <c r="Q2" s="472"/>
    </row>
    <row r="3" spans="2:17" ht="14" thickBot="1"/>
    <row r="4" spans="2:17" ht="33" customHeight="1">
      <c r="B4" s="473" t="s">
        <v>362</v>
      </c>
      <c r="C4" s="474"/>
      <c r="D4" s="474"/>
      <c r="E4" s="474"/>
      <c r="F4" s="474"/>
      <c r="G4" s="474"/>
      <c r="H4" s="474"/>
      <c r="I4" s="474"/>
      <c r="J4" s="474"/>
      <c r="K4" s="474"/>
      <c r="L4" s="474"/>
      <c r="M4" s="474"/>
      <c r="N4" s="474"/>
      <c r="O4" s="474"/>
      <c r="P4" s="474"/>
      <c r="Q4" s="475"/>
    </row>
    <row r="5" spans="2:17" ht="16" thickBot="1">
      <c r="B5" s="304"/>
      <c r="C5" s="305"/>
      <c r="D5" s="305"/>
      <c r="E5" s="305"/>
      <c r="F5" s="305"/>
      <c r="G5" s="305"/>
      <c r="H5" s="305"/>
      <c r="I5" s="305"/>
      <c r="J5" s="305"/>
      <c r="K5" s="305"/>
      <c r="L5" s="305"/>
      <c r="M5" s="305"/>
      <c r="N5" s="305"/>
      <c r="O5" s="305"/>
      <c r="P5" s="305"/>
      <c r="Q5" s="282"/>
    </row>
    <row r="6" spans="2:17" ht="22.5" customHeight="1">
      <c r="B6" s="299"/>
      <c r="C6" s="476" t="s">
        <v>375</v>
      </c>
      <c r="D6" s="476"/>
      <c r="E6" s="476"/>
      <c r="F6" s="476"/>
      <c r="G6" s="476"/>
      <c r="H6" s="476"/>
      <c r="I6" s="476"/>
      <c r="J6" s="476"/>
      <c r="K6" s="476"/>
      <c r="L6" s="476"/>
      <c r="M6" s="476"/>
      <c r="N6" s="476"/>
      <c r="O6" s="476"/>
      <c r="P6" s="476"/>
      <c r="Q6" s="301"/>
    </row>
    <row r="7" spans="2:17" ht="24" customHeight="1">
      <c r="B7" s="468"/>
      <c r="C7" s="469"/>
      <c r="D7" s="469"/>
      <c r="E7" s="469"/>
      <c r="F7" s="469"/>
      <c r="G7" s="469"/>
      <c r="H7" s="469"/>
      <c r="I7" s="469"/>
      <c r="J7" s="469"/>
      <c r="K7" s="469"/>
      <c r="L7" s="469"/>
      <c r="M7" s="469"/>
      <c r="N7" s="469"/>
      <c r="O7" s="469"/>
      <c r="P7" s="469"/>
      <c r="Q7" s="282"/>
    </row>
    <row r="8" spans="2:17" ht="14.25" customHeight="1">
      <c r="B8" s="480" t="s">
        <v>386</v>
      </c>
      <c r="C8" s="481"/>
      <c r="D8" s="481"/>
      <c r="E8" s="481"/>
      <c r="F8" s="481"/>
      <c r="G8" s="481"/>
      <c r="H8" s="481"/>
      <c r="I8" s="481"/>
      <c r="J8" s="481"/>
      <c r="K8" s="481"/>
      <c r="L8" s="297"/>
      <c r="M8" s="467" t="s">
        <v>373</v>
      </c>
      <c r="N8" s="467"/>
      <c r="O8" s="298">
        <v>7500</v>
      </c>
      <c r="P8" s="297"/>
      <c r="Q8" s="282"/>
    </row>
    <row r="9" spans="2:17" ht="14.25" customHeight="1">
      <c r="B9" s="480"/>
      <c r="C9" s="481"/>
      <c r="D9" s="481"/>
      <c r="E9" s="481"/>
      <c r="F9" s="481"/>
      <c r="G9" s="481"/>
      <c r="H9" s="481"/>
      <c r="I9" s="481"/>
      <c r="J9" s="481"/>
      <c r="K9" s="481"/>
      <c r="L9" s="305"/>
      <c r="M9" s="467" t="s">
        <v>374</v>
      </c>
      <c r="N9" s="467"/>
      <c r="O9" s="298">
        <v>7800</v>
      </c>
      <c r="P9" s="305"/>
      <c r="Q9" s="282"/>
    </row>
    <row r="10" spans="2:17" ht="14.25" customHeight="1">
      <c r="B10" s="480"/>
      <c r="C10" s="481"/>
      <c r="D10" s="481"/>
      <c r="E10" s="481"/>
      <c r="F10" s="481"/>
      <c r="G10" s="481"/>
      <c r="H10" s="481"/>
      <c r="I10" s="481"/>
      <c r="J10" s="481"/>
      <c r="K10" s="481"/>
      <c r="L10" s="305"/>
      <c r="M10" s="467" t="s">
        <v>365</v>
      </c>
      <c r="N10" s="467"/>
      <c r="O10" s="298">
        <v>1500</v>
      </c>
      <c r="P10" s="305"/>
      <c r="Q10" s="282"/>
    </row>
    <row r="11" spans="2:17" ht="14.25" customHeight="1">
      <c r="B11" s="480"/>
      <c r="C11" s="481"/>
      <c r="D11" s="481"/>
      <c r="E11" s="481"/>
      <c r="F11" s="481"/>
      <c r="G11" s="481"/>
      <c r="H11" s="481"/>
      <c r="I11" s="481"/>
      <c r="J11" s="481"/>
      <c r="K11" s="481"/>
      <c r="L11" s="305"/>
      <c r="M11" s="467" t="s">
        <v>366</v>
      </c>
      <c r="N11" s="467"/>
      <c r="O11" s="298">
        <v>8800</v>
      </c>
      <c r="P11" s="305"/>
      <c r="Q11" s="282"/>
    </row>
    <row r="12" spans="2:17" ht="14.25" customHeight="1">
      <c r="B12" s="480"/>
      <c r="C12" s="481"/>
      <c r="D12" s="481"/>
      <c r="E12" s="481"/>
      <c r="F12" s="481"/>
      <c r="G12" s="481"/>
      <c r="H12" s="481"/>
      <c r="I12" s="481"/>
      <c r="J12" s="481"/>
      <c r="K12" s="481"/>
      <c r="L12" s="305"/>
      <c r="M12" s="467" t="s">
        <v>367</v>
      </c>
      <c r="N12" s="467"/>
      <c r="O12" s="298">
        <v>14000</v>
      </c>
      <c r="P12" s="305"/>
      <c r="Q12" s="282"/>
    </row>
    <row r="13" spans="2:17" ht="14.25" customHeight="1">
      <c r="B13" s="480"/>
      <c r="C13" s="481"/>
      <c r="D13" s="481"/>
      <c r="E13" s="481"/>
      <c r="F13" s="481"/>
      <c r="G13" s="481"/>
      <c r="H13" s="481"/>
      <c r="I13" s="481"/>
      <c r="J13" s="481"/>
      <c r="K13" s="481"/>
      <c r="L13" s="305"/>
      <c r="M13" s="467" t="s">
        <v>368</v>
      </c>
      <c r="N13" s="467"/>
      <c r="O13" s="298">
        <v>16200</v>
      </c>
      <c r="P13" s="305"/>
      <c r="Q13" s="282"/>
    </row>
    <row r="14" spans="2:17" ht="14.25" customHeight="1">
      <c r="B14" s="480"/>
      <c r="C14" s="481"/>
      <c r="D14" s="481"/>
      <c r="E14" s="481"/>
      <c r="F14" s="481"/>
      <c r="G14" s="481"/>
      <c r="H14" s="481"/>
      <c r="I14" s="481"/>
      <c r="J14" s="481"/>
      <c r="K14" s="481"/>
      <c r="L14" s="305"/>
      <c r="M14" s="477" t="s">
        <v>369</v>
      </c>
      <c r="N14" s="477"/>
      <c r="O14" s="298">
        <v>22400</v>
      </c>
      <c r="P14" s="305"/>
      <c r="Q14" s="282"/>
    </row>
    <row r="15" spans="2:17" ht="14.25" customHeight="1">
      <c r="B15" s="480"/>
      <c r="C15" s="481"/>
      <c r="D15" s="481"/>
      <c r="E15" s="481"/>
      <c r="F15" s="481"/>
      <c r="G15" s="481"/>
      <c r="H15" s="481"/>
      <c r="I15" s="481"/>
      <c r="J15" s="481"/>
      <c r="K15" s="481"/>
      <c r="L15" s="305"/>
      <c r="M15" s="477" t="s">
        <v>370</v>
      </c>
      <c r="N15" s="477"/>
      <c r="O15" s="298">
        <v>375</v>
      </c>
      <c r="P15" s="305"/>
      <c r="Q15" s="282"/>
    </row>
    <row r="16" spans="2:17" ht="14.25" customHeight="1">
      <c r="B16" s="480"/>
      <c r="C16" s="481"/>
      <c r="D16" s="481"/>
      <c r="E16" s="481"/>
      <c r="F16" s="481"/>
      <c r="G16" s="481"/>
      <c r="H16" s="481"/>
      <c r="I16" s="481"/>
      <c r="J16" s="481"/>
      <c r="K16" s="481"/>
      <c r="L16" s="305"/>
      <c r="M16" s="477" t="s">
        <v>371</v>
      </c>
      <c r="N16" s="477"/>
      <c r="O16" s="298">
        <v>2200</v>
      </c>
      <c r="P16" s="305"/>
      <c r="Q16" s="282"/>
    </row>
    <row r="17" spans="2:17" ht="14.25" customHeight="1">
      <c r="B17" s="480"/>
      <c r="C17" s="481"/>
      <c r="D17" s="481"/>
      <c r="E17" s="481"/>
      <c r="F17" s="481"/>
      <c r="G17" s="481"/>
      <c r="H17" s="481"/>
      <c r="I17" s="481"/>
      <c r="J17" s="481"/>
      <c r="K17" s="481"/>
      <c r="L17" s="305"/>
      <c r="M17" s="477" t="s">
        <v>372</v>
      </c>
      <c r="N17" s="477"/>
      <c r="O17" s="298">
        <v>1700</v>
      </c>
      <c r="P17" s="305"/>
      <c r="Q17" s="282"/>
    </row>
    <row r="18" spans="2:17" ht="15.75" customHeight="1" thickBot="1">
      <c r="B18" s="302"/>
      <c r="C18" s="300"/>
      <c r="D18" s="300"/>
      <c r="E18" s="300"/>
      <c r="F18" s="300"/>
      <c r="G18" s="300"/>
      <c r="H18" s="300"/>
      <c r="I18" s="300"/>
      <c r="J18" s="300"/>
      <c r="K18" s="300"/>
      <c r="L18" s="300"/>
      <c r="M18" s="300"/>
      <c r="N18" s="300"/>
      <c r="O18" s="300"/>
      <c r="P18" s="300"/>
      <c r="Q18" s="303"/>
    </row>
    <row r="19" spans="2:17" ht="106.5" customHeight="1" thickBot="1">
      <c r="B19" s="482" t="s">
        <v>385</v>
      </c>
      <c r="C19" s="483"/>
      <c r="D19" s="483"/>
      <c r="E19" s="483"/>
      <c r="F19" s="483"/>
      <c r="G19" s="465" t="s">
        <v>380</v>
      </c>
      <c r="H19" s="466"/>
      <c r="I19" s="466"/>
      <c r="J19" s="466"/>
      <c r="K19" s="466"/>
      <c r="L19" s="465" t="s">
        <v>381</v>
      </c>
      <c r="M19" s="466"/>
      <c r="N19" s="466"/>
      <c r="O19" s="466"/>
      <c r="P19" s="305"/>
      <c r="Q19" s="282"/>
    </row>
    <row r="20" spans="2:17" ht="31.5" customHeight="1">
      <c r="B20" s="457" t="s">
        <v>384</v>
      </c>
      <c r="C20" s="458"/>
      <c r="D20" s="458"/>
      <c r="E20" s="458"/>
      <c r="F20" s="458"/>
      <c r="G20" s="458"/>
      <c r="H20" s="458"/>
      <c r="I20" s="458"/>
      <c r="J20" s="458"/>
      <c r="K20" s="458"/>
      <c r="L20" s="458"/>
      <c r="M20" s="458"/>
      <c r="N20" s="458"/>
      <c r="O20" s="458"/>
      <c r="P20" s="458"/>
      <c r="Q20" s="459"/>
    </row>
    <row r="21" spans="2:17" ht="81.75" customHeight="1">
      <c r="B21" s="460" t="s">
        <v>382</v>
      </c>
      <c r="C21" s="461"/>
      <c r="D21" s="461"/>
      <c r="E21" s="461"/>
      <c r="F21" s="461"/>
      <c r="G21" s="461"/>
      <c r="H21" s="461"/>
      <c r="I21" s="461"/>
      <c r="J21" s="461"/>
      <c r="K21" s="461"/>
      <c r="L21" s="308"/>
      <c r="M21" s="462" t="s">
        <v>383</v>
      </c>
      <c r="N21" s="463"/>
      <c r="O21" s="464"/>
      <c r="P21" s="305"/>
      <c r="Q21" s="282"/>
    </row>
    <row r="22" spans="2:17" ht="15" customHeight="1" thickBot="1">
      <c r="B22" s="309"/>
      <c r="C22" s="310"/>
      <c r="D22" s="310"/>
      <c r="E22" s="310"/>
      <c r="F22" s="310"/>
      <c r="G22" s="310"/>
      <c r="H22" s="310"/>
      <c r="I22" s="310"/>
      <c r="J22" s="310"/>
      <c r="K22" s="310"/>
      <c r="L22" s="308"/>
      <c r="M22" s="310"/>
      <c r="N22" s="310"/>
      <c r="O22" s="310"/>
      <c r="P22" s="305"/>
      <c r="Q22" s="282"/>
    </row>
    <row r="23" spans="2:17" ht="15">
      <c r="B23" s="478" t="s">
        <v>354</v>
      </c>
      <c r="C23" s="479"/>
      <c r="D23" s="479"/>
      <c r="E23" s="479"/>
      <c r="F23" s="479"/>
      <c r="G23" s="479"/>
      <c r="H23" s="479"/>
      <c r="I23" s="479"/>
      <c r="J23" s="479"/>
      <c r="K23" s="479"/>
      <c r="L23" s="479"/>
      <c r="M23" s="479"/>
      <c r="N23" s="479"/>
      <c r="O23" s="479"/>
      <c r="P23" s="479"/>
      <c r="Q23" s="301"/>
    </row>
    <row r="24" spans="2:17" ht="16">
      <c r="B24" s="470" t="s">
        <v>355</v>
      </c>
      <c r="C24" s="471"/>
      <c r="D24" s="471"/>
      <c r="E24" s="471"/>
      <c r="F24" s="471"/>
      <c r="G24" s="471"/>
      <c r="H24" s="471"/>
      <c r="I24" s="471"/>
      <c r="J24" s="471"/>
      <c r="K24" s="283" t="s">
        <v>351</v>
      </c>
      <c r="L24" s="305"/>
      <c r="M24" s="305"/>
      <c r="N24" s="305"/>
      <c r="O24" s="305"/>
      <c r="P24" s="305"/>
      <c r="Q24" s="282"/>
    </row>
    <row r="25" spans="2:17" ht="16">
      <c r="B25" s="306" t="s">
        <v>356</v>
      </c>
      <c r="C25" s="307"/>
      <c r="D25" s="307"/>
      <c r="E25" s="307"/>
      <c r="F25" s="307"/>
      <c r="G25" s="307"/>
      <c r="H25" s="307"/>
      <c r="I25" s="307"/>
      <c r="J25" s="307"/>
      <c r="K25" s="283"/>
      <c r="L25" s="305"/>
      <c r="M25" s="283" t="s">
        <v>351</v>
      </c>
      <c r="N25" s="305"/>
      <c r="O25" s="305"/>
      <c r="P25" s="305"/>
      <c r="Q25" s="282"/>
    </row>
    <row r="26" spans="2:17" ht="30" customHeight="1">
      <c r="B26" s="284"/>
      <c r="C26" s="285"/>
      <c r="D26" s="285"/>
      <c r="E26" s="285"/>
      <c r="F26" s="285"/>
      <c r="G26" s="285"/>
      <c r="H26" s="285"/>
      <c r="I26" s="285"/>
      <c r="J26" s="285"/>
      <c r="K26" s="285"/>
      <c r="L26" s="285"/>
      <c r="M26" s="285"/>
      <c r="N26" s="285"/>
      <c r="O26" s="285"/>
      <c r="P26" s="285"/>
      <c r="Q26" s="282"/>
    </row>
    <row r="27" spans="2:17" ht="15">
      <c r="B27" s="468" t="s">
        <v>352</v>
      </c>
      <c r="C27" s="469"/>
      <c r="D27" s="469"/>
      <c r="E27" s="469"/>
      <c r="F27" s="469"/>
      <c r="G27" s="469"/>
      <c r="H27" s="469"/>
      <c r="I27" s="469"/>
      <c r="J27" s="469"/>
      <c r="K27" s="469"/>
      <c r="L27" s="469"/>
      <c r="M27" s="469"/>
      <c r="N27" s="469"/>
      <c r="O27" s="469"/>
      <c r="P27" s="469"/>
      <c r="Q27" s="282"/>
    </row>
    <row r="28" spans="2:17" ht="22.5" customHeight="1">
      <c r="B28" s="470"/>
      <c r="C28" s="471"/>
      <c r="D28" s="471"/>
      <c r="E28" s="471"/>
      <c r="F28" s="471"/>
      <c r="G28" s="471"/>
      <c r="H28" s="471"/>
      <c r="I28" s="471"/>
      <c r="J28" s="471"/>
      <c r="K28" s="471"/>
      <c r="L28" s="471"/>
      <c r="M28" s="471"/>
      <c r="N28" s="471"/>
      <c r="O28" s="471"/>
      <c r="P28" s="471"/>
      <c r="Q28" s="282"/>
    </row>
    <row r="29" spans="2:17" ht="15.75" customHeight="1">
      <c r="B29" s="468" t="s">
        <v>379</v>
      </c>
      <c r="C29" s="469"/>
      <c r="D29" s="469"/>
      <c r="E29" s="469"/>
      <c r="F29" s="469"/>
      <c r="G29" s="469"/>
      <c r="H29" s="469"/>
      <c r="I29" s="469"/>
      <c r="J29" s="469"/>
      <c r="K29" s="469"/>
      <c r="L29" s="469"/>
      <c r="M29" s="469"/>
      <c r="N29" s="469"/>
      <c r="O29" s="469"/>
      <c r="P29" s="469"/>
      <c r="Q29" s="282"/>
    </row>
    <row r="30" spans="2:17" ht="21.75" customHeight="1">
      <c r="B30" s="304"/>
      <c r="C30" s="305"/>
      <c r="D30" s="305"/>
      <c r="E30" s="305"/>
      <c r="F30" s="305"/>
      <c r="G30" s="305"/>
      <c r="H30" s="305"/>
      <c r="I30" s="305"/>
      <c r="J30" s="305"/>
      <c r="K30" s="305"/>
      <c r="L30" s="305"/>
      <c r="M30" s="305"/>
      <c r="N30" s="305"/>
      <c r="O30" s="305"/>
      <c r="P30" s="305"/>
      <c r="Q30" s="282"/>
    </row>
    <row r="31" spans="2:17" ht="15">
      <c r="B31" s="468" t="s">
        <v>377</v>
      </c>
      <c r="C31" s="469"/>
      <c r="D31" s="469"/>
      <c r="E31" s="469"/>
      <c r="F31" s="469"/>
      <c r="G31" s="469"/>
      <c r="H31" s="469"/>
      <c r="I31" s="469"/>
      <c r="J31" s="469"/>
      <c r="K31" s="469"/>
      <c r="L31" s="469"/>
      <c r="M31" s="469"/>
      <c r="N31" s="469"/>
      <c r="O31" s="469"/>
      <c r="P31" s="469"/>
      <c r="Q31" s="282"/>
    </row>
    <row r="32" spans="2:17" ht="29.25" customHeight="1">
      <c r="B32" s="286"/>
      <c r="C32" s="285"/>
      <c r="D32" s="285"/>
      <c r="E32" s="285"/>
      <c r="F32" s="285"/>
      <c r="G32" s="285"/>
      <c r="H32" s="285"/>
      <c r="I32" s="285"/>
      <c r="J32" s="285"/>
      <c r="K32" s="285"/>
      <c r="L32" s="285"/>
      <c r="M32" s="285"/>
      <c r="N32" s="285"/>
      <c r="O32" s="285"/>
      <c r="P32" s="285"/>
      <c r="Q32" s="282"/>
    </row>
    <row r="33" spans="2:17" ht="15">
      <c r="B33" s="468" t="s">
        <v>378</v>
      </c>
      <c r="C33" s="469"/>
      <c r="D33" s="469"/>
      <c r="E33" s="469"/>
      <c r="F33" s="469"/>
      <c r="G33" s="469"/>
      <c r="H33" s="469"/>
      <c r="I33" s="469"/>
      <c r="J33" s="469"/>
      <c r="K33" s="469"/>
      <c r="L33" s="469"/>
      <c r="M33" s="469"/>
      <c r="N33" s="469"/>
      <c r="O33" s="469"/>
      <c r="P33" s="469"/>
      <c r="Q33" s="282"/>
    </row>
    <row r="34" spans="2:17" ht="27.75" customHeight="1">
      <c r="B34" s="286"/>
      <c r="C34" s="285"/>
      <c r="D34" s="285"/>
      <c r="E34" s="285"/>
      <c r="F34" s="285"/>
      <c r="G34" s="285"/>
      <c r="H34" s="285"/>
      <c r="I34" s="285"/>
      <c r="J34" s="285"/>
      <c r="K34" s="285"/>
      <c r="L34" s="285"/>
      <c r="M34" s="285"/>
      <c r="N34" s="285"/>
      <c r="O34" s="285"/>
      <c r="P34" s="285"/>
      <c r="Q34" s="282"/>
    </row>
    <row r="35" spans="2:17" ht="31.5" customHeight="1" thickBot="1">
      <c r="B35" s="468" t="s">
        <v>353</v>
      </c>
      <c r="C35" s="469"/>
      <c r="D35" s="469"/>
      <c r="E35" s="469"/>
      <c r="F35" s="469"/>
      <c r="G35" s="469"/>
      <c r="H35" s="469"/>
      <c r="I35" s="469"/>
      <c r="J35" s="469"/>
      <c r="K35" s="469"/>
      <c r="L35" s="469"/>
      <c r="M35" s="469"/>
      <c r="N35" s="469"/>
      <c r="O35" s="469"/>
      <c r="P35" s="469"/>
      <c r="Q35" s="289"/>
    </row>
    <row r="36" spans="2:17" ht="14" thickBot="1">
      <c r="B36" s="287"/>
      <c r="C36" s="288"/>
      <c r="D36" s="288"/>
      <c r="E36" s="288"/>
      <c r="F36" s="288"/>
      <c r="G36" s="288"/>
      <c r="H36" s="288"/>
      <c r="I36" s="288"/>
      <c r="J36" s="288"/>
      <c r="K36" s="288"/>
      <c r="L36" s="288"/>
      <c r="M36" s="288"/>
      <c r="N36" s="288"/>
      <c r="O36" s="288"/>
      <c r="P36" s="288"/>
    </row>
    <row r="37" spans="2:17">
      <c r="B37" s="280"/>
    </row>
    <row r="38" spans="2:17">
      <c r="B38" s="280"/>
    </row>
    <row r="39" spans="2:17">
      <c r="B39" s="280"/>
    </row>
    <row r="40" spans="2:17">
      <c r="B40" s="280"/>
    </row>
    <row r="41" spans="2:17">
      <c r="B41" s="280"/>
    </row>
    <row r="42" spans="2:17">
      <c r="B42" s="280"/>
    </row>
    <row r="43" spans="2:17">
      <c r="B43" s="280"/>
    </row>
    <row r="44" spans="2:17">
      <c r="B44" s="280"/>
    </row>
    <row r="45" spans="2:17">
      <c r="B45" s="280"/>
    </row>
  </sheetData>
  <mergeCells count="29">
    <mergeCell ref="B2:Q2"/>
    <mergeCell ref="B4:Q4"/>
    <mergeCell ref="C6:P6"/>
    <mergeCell ref="B29:P29"/>
    <mergeCell ref="B24:J24"/>
    <mergeCell ref="M14:N14"/>
    <mergeCell ref="M15:N15"/>
    <mergeCell ref="B23:P23"/>
    <mergeCell ref="B7:P7"/>
    <mergeCell ref="M8:N8"/>
    <mergeCell ref="M16:N16"/>
    <mergeCell ref="M17:N17"/>
    <mergeCell ref="B8:K17"/>
    <mergeCell ref="B19:F19"/>
    <mergeCell ref="M9:N9"/>
    <mergeCell ref="G19:K19"/>
    <mergeCell ref="B35:P35"/>
    <mergeCell ref="B33:P33"/>
    <mergeCell ref="B31:P31"/>
    <mergeCell ref="B28:P28"/>
    <mergeCell ref="B27:P27"/>
    <mergeCell ref="B20:Q20"/>
    <mergeCell ref="B21:K21"/>
    <mergeCell ref="M21:O21"/>
    <mergeCell ref="L19:O19"/>
    <mergeCell ref="M10:N10"/>
    <mergeCell ref="M11:N11"/>
    <mergeCell ref="M12:N12"/>
    <mergeCell ref="M13:N13"/>
  </mergeCells>
  <hyperlinks>
    <hyperlink ref="K24" r:id="rId1" xr:uid="{00000000-0004-0000-0000-000000000000}"/>
    <hyperlink ref="M25" r:id="rId2" xr:uid="{00000000-0004-0000-0000-000001000000}"/>
  </hyperlinks>
  <pageMargins left="0.7" right="0.7" top="0.75" bottom="0.75" header="0.3" footer="0.3"/>
  <pageSetup scale="70" orientation="landscape"/>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H52"/>
  <sheetViews>
    <sheetView topLeftCell="A23" zoomScale="87" workbookViewId="0">
      <selection activeCell="H15" sqref="H15"/>
    </sheetView>
  </sheetViews>
  <sheetFormatPr baseColWidth="10" defaultColWidth="8.83203125" defaultRowHeight="13"/>
  <cols>
    <col min="1" max="1" width="4.1640625" customWidth="1"/>
    <col min="2" max="2" width="4.33203125" customWidth="1"/>
    <col min="6" max="6" width="19.6640625" customWidth="1"/>
    <col min="7" max="7" width="0.33203125" customWidth="1"/>
    <col min="8" max="8" width="45.33203125" customWidth="1"/>
  </cols>
  <sheetData>
    <row r="1" spans="1:8" ht="15">
      <c r="A1" s="292" t="s">
        <v>357</v>
      </c>
      <c r="B1" s="293"/>
      <c r="C1" s="293"/>
      <c r="D1" s="491" t="s">
        <v>512</v>
      </c>
      <c r="E1" s="491"/>
      <c r="F1" s="491"/>
      <c r="G1" s="491"/>
      <c r="H1" s="5"/>
    </row>
    <row r="2" spans="1:8" ht="30.75" customHeight="1">
      <c r="A2" s="8" t="s">
        <v>358</v>
      </c>
      <c r="B2" s="21"/>
      <c r="C2" s="21"/>
      <c r="D2" s="5"/>
      <c r="E2" s="5"/>
      <c r="F2" s="5"/>
      <c r="G2" s="5"/>
      <c r="H2" s="5"/>
    </row>
    <row r="3" spans="1:8" ht="15" thickBot="1">
      <c r="A3" s="27"/>
      <c r="B3" s="21"/>
      <c r="C3" s="21"/>
      <c r="D3" s="5"/>
      <c r="E3" s="5"/>
      <c r="F3" s="5"/>
      <c r="G3" s="5"/>
      <c r="H3" s="5"/>
    </row>
    <row r="4" spans="1:8" ht="13.5" customHeight="1" thickTop="1">
      <c r="A4" s="162"/>
      <c r="B4" s="484" t="s">
        <v>239</v>
      </c>
      <c r="C4" s="485"/>
      <c r="D4" s="485"/>
      <c r="E4" s="137"/>
      <c r="F4" s="487" t="s">
        <v>314</v>
      </c>
      <c r="G4" s="163"/>
      <c r="H4" s="489" t="s">
        <v>315</v>
      </c>
    </row>
    <row r="5" spans="1:8" ht="14" thickBot="1">
      <c r="A5" s="164"/>
      <c r="B5" s="486"/>
      <c r="C5" s="486"/>
      <c r="D5" s="486"/>
      <c r="E5" s="165"/>
      <c r="F5" s="488"/>
      <c r="G5" s="166"/>
      <c r="H5" s="490"/>
    </row>
    <row r="6" spans="1:8" ht="15" thickTop="1">
      <c r="A6" s="33"/>
      <c r="B6" s="132" t="s">
        <v>316</v>
      </c>
      <c r="C6" s="24"/>
      <c r="D6" s="24"/>
      <c r="E6" s="24"/>
      <c r="F6" s="167"/>
      <c r="G6" s="168"/>
      <c r="H6" s="169"/>
    </row>
    <row r="7" spans="1:8" ht="14">
      <c r="A7" s="192">
        <v>1</v>
      </c>
      <c r="B7" s="36"/>
      <c r="C7" s="9" t="s">
        <v>317</v>
      </c>
      <c r="D7" s="9"/>
      <c r="E7" s="9"/>
      <c r="F7" s="170">
        <v>165000</v>
      </c>
      <c r="G7" s="171"/>
      <c r="H7" s="19" t="s">
        <v>542</v>
      </c>
    </row>
    <row r="8" spans="1:8" ht="14">
      <c r="A8" s="192">
        <v>2</v>
      </c>
      <c r="B8" s="36"/>
      <c r="C8" s="9" t="s">
        <v>318</v>
      </c>
      <c r="D8" s="9"/>
      <c r="E8" s="9"/>
      <c r="F8" s="170">
        <v>50000</v>
      </c>
      <c r="G8" s="171"/>
      <c r="H8" s="19" t="s">
        <v>548</v>
      </c>
    </row>
    <row r="9" spans="1:8" ht="14">
      <c r="A9" s="192"/>
      <c r="B9" s="36"/>
      <c r="C9" s="9"/>
      <c r="D9" s="9"/>
      <c r="E9" s="9"/>
      <c r="F9" s="170"/>
      <c r="G9" s="171"/>
      <c r="H9" s="19"/>
    </row>
    <row r="10" spans="1:8" ht="14">
      <c r="A10" s="192"/>
      <c r="B10" s="36"/>
      <c r="C10" s="9"/>
      <c r="D10" s="9"/>
      <c r="E10" s="9"/>
      <c r="F10" s="170"/>
      <c r="G10" s="171"/>
      <c r="H10" s="19"/>
    </row>
    <row r="11" spans="1:8" ht="14">
      <c r="A11" s="192">
        <v>3</v>
      </c>
      <c r="B11" s="25"/>
      <c r="C11" s="53" t="s">
        <v>319</v>
      </c>
      <c r="D11" s="11"/>
      <c r="E11" s="11"/>
      <c r="F11" s="172">
        <f>SUM(F7:F10)</f>
        <v>215000</v>
      </c>
      <c r="G11" s="173"/>
      <c r="H11" s="174"/>
    </row>
    <row r="12" spans="1:8" ht="14">
      <c r="A12" s="192"/>
      <c r="B12" s="36"/>
      <c r="C12" s="9"/>
      <c r="D12" s="9"/>
      <c r="E12" s="9"/>
      <c r="F12" s="170"/>
      <c r="G12" s="171"/>
      <c r="H12" s="19"/>
    </row>
    <row r="13" spans="1:8" ht="14">
      <c r="A13" s="193"/>
      <c r="B13" s="52" t="s">
        <v>320</v>
      </c>
      <c r="C13" s="11"/>
      <c r="D13" s="11"/>
      <c r="E13" s="11"/>
      <c r="F13" s="172"/>
      <c r="G13" s="173"/>
      <c r="H13" s="174"/>
    </row>
    <row r="14" spans="1:8" s="178" customFormat="1" ht="14">
      <c r="A14" s="192"/>
      <c r="B14" s="175" t="s">
        <v>321</v>
      </c>
      <c r="C14" s="109"/>
      <c r="D14" s="109"/>
      <c r="E14" s="109"/>
      <c r="F14" s="176"/>
      <c r="G14" s="177"/>
      <c r="H14" s="105"/>
    </row>
    <row r="15" spans="1:8" s="178" customFormat="1" ht="14">
      <c r="A15" s="192">
        <v>4</v>
      </c>
      <c r="B15" s="107"/>
      <c r="C15" s="109" t="s">
        <v>322</v>
      </c>
      <c r="D15" s="109"/>
      <c r="E15" s="109"/>
      <c r="F15" s="176">
        <f>'Yr 1 Operating Statement of Act'!G208/12*6</f>
        <v>70000</v>
      </c>
      <c r="G15" s="177"/>
      <c r="H15" s="105" t="s">
        <v>483</v>
      </c>
    </row>
    <row r="16" spans="1:8" s="178" customFormat="1" ht="14">
      <c r="A16" s="192">
        <v>5</v>
      </c>
      <c r="B16" s="107"/>
      <c r="C16" s="109" t="s">
        <v>323</v>
      </c>
      <c r="D16" s="109"/>
      <c r="E16" s="109"/>
      <c r="F16" s="176">
        <f>'Yr 1 Operating Statement of Act'!G234/12*3</f>
        <v>0</v>
      </c>
      <c r="G16" s="177"/>
      <c r="H16" s="105" t="s">
        <v>484</v>
      </c>
    </row>
    <row r="17" spans="1:8" s="178" customFormat="1" ht="14">
      <c r="A17" s="192">
        <v>6</v>
      </c>
      <c r="B17" s="107"/>
      <c r="C17" s="109" t="s">
        <v>324</v>
      </c>
      <c r="D17" s="109"/>
      <c r="E17" s="109"/>
      <c r="F17" s="176">
        <f>SUM(F15:F16)*(0.062+0.0145+0.06+0.0098+0.0075)</f>
        <v>10766.000000000002</v>
      </c>
      <c r="G17" s="177"/>
      <c r="H17" s="105" t="s">
        <v>485</v>
      </c>
    </row>
    <row r="18" spans="1:8" s="178" customFormat="1" ht="14">
      <c r="A18" s="192">
        <v>7</v>
      </c>
      <c r="B18" s="107"/>
      <c r="C18" s="109" t="s">
        <v>325</v>
      </c>
      <c r="D18" s="109"/>
      <c r="E18" s="109"/>
      <c r="F18" s="176">
        <f>((3884/12)*6)+((3884/12*3))</f>
        <v>2913</v>
      </c>
      <c r="G18" s="177"/>
      <c r="H18" s="105" t="s">
        <v>486</v>
      </c>
    </row>
    <row r="19" spans="1:8" s="178" customFormat="1" ht="14">
      <c r="A19" s="192">
        <v>8</v>
      </c>
      <c r="B19" s="107"/>
      <c r="C19" s="109" t="s">
        <v>326</v>
      </c>
      <c r="D19" s="109"/>
      <c r="E19" s="109"/>
      <c r="F19" s="176">
        <f>1500*SUM('Assumptions Expenses'!D2:D25)</f>
        <v>52500</v>
      </c>
      <c r="G19" s="177"/>
      <c r="H19" s="105" t="s">
        <v>527</v>
      </c>
    </row>
    <row r="20" spans="1:8" ht="14">
      <c r="A20" s="192">
        <v>9</v>
      </c>
      <c r="B20" s="36"/>
      <c r="C20" s="9" t="s">
        <v>327</v>
      </c>
      <c r="D20" s="9"/>
      <c r="E20" s="9"/>
      <c r="F20" s="170">
        <v>5000</v>
      </c>
      <c r="G20" s="171"/>
      <c r="H20" s="19" t="s">
        <v>550</v>
      </c>
    </row>
    <row r="21" spans="1:8" ht="14">
      <c r="A21" s="192">
        <v>10</v>
      </c>
      <c r="B21" s="36"/>
      <c r="C21" s="9" t="s">
        <v>131</v>
      </c>
      <c r="D21" s="9"/>
      <c r="E21" s="9"/>
      <c r="F21" s="170"/>
      <c r="G21" s="171"/>
      <c r="H21" s="19"/>
    </row>
    <row r="22" spans="1:8" ht="14">
      <c r="A22" s="192"/>
      <c r="B22" s="36"/>
      <c r="C22" s="9"/>
      <c r="D22" s="9"/>
      <c r="E22" s="9"/>
      <c r="F22" s="170"/>
      <c r="G22" s="171"/>
      <c r="H22" s="19"/>
    </row>
    <row r="23" spans="1:8" ht="14">
      <c r="A23" s="192">
        <v>11</v>
      </c>
      <c r="B23" s="25"/>
      <c r="C23" s="179" t="s">
        <v>328</v>
      </c>
      <c r="D23" s="11"/>
      <c r="E23" s="11"/>
      <c r="F23" s="172">
        <f>SUM(F15:F22)</f>
        <v>141179</v>
      </c>
      <c r="G23" s="173"/>
      <c r="H23" s="174"/>
    </row>
    <row r="24" spans="1:8" ht="14">
      <c r="A24" s="192"/>
      <c r="B24" s="36"/>
      <c r="F24" s="170"/>
      <c r="G24" s="171"/>
      <c r="H24" s="19"/>
    </row>
    <row r="25" spans="1:8" ht="14">
      <c r="A25" s="192"/>
      <c r="B25" s="80" t="s">
        <v>329</v>
      </c>
      <c r="C25" s="9"/>
      <c r="D25" s="9"/>
      <c r="E25" s="9"/>
      <c r="F25" s="170"/>
      <c r="G25" s="171"/>
      <c r="H25" s="19"/>
    </row>
    <row r="26" spans="1:8" ht="14">
      <c r="A26" s="192">
        <v>12</v>
      </c>
      <c r="B26" s="36"/>
      <c r="C26" s="9" t="s">
        <v>330</v>
      </c>
      <c r="D26" s="9"/>
      <c r="E26" s="9"/>
      <c r="F26" s="170"/>
      <c r="G26" s="171"/>
      <c r="H26" s="19"/>
    </row>
    <row r="27" spans="1:8" ht="14">
      <c r="A27" s="192">
        <v>13</v>
      </c>
      <c r="B27" s="36"/>
      <c r="C27" s="9" t="s">
        <v>331</v>
      </c>
      <c r="D27" s="9"/>
      <c r="E27" s="9"/>
      <c r="F27" s="170">
        <v>1000</v>
      </c>
      <c r="G27" s="171"/>
      <c r="H27" s="19"/>
    </row>
    <row r="28" spans="1:8" ht="14">
      <c r="A28" s="192">
        <v>14</v>
      </c>
      <c r="B28" s="36"/>
      <c r="C28" s="9" t="s">
        <v>332</v>
      </c>
      <c r="D28" s="9"/>
      <c r="E28" s="9"/>
      <c r="F28" s="170">
        <v>1500</v>
      </c>
      <c r="G28" s="171"/>
      <c r="H28" s="19"/>
    </row>
    <row r="29" spans="1:8" ht="14">
      <c r="A29" s="192">
        <v>15</v>
      </c>
      <c r="B29" s="36"/>
      <c r="C29" s="9" t="s">
        <v>333</v>
      </c>
      <c r="D29" s="9"/>
      <c r="E29" s="9"/>
      <c r="F29" s="170"/>
      <c r="G29" s="171"/>
      <c r="H29" s="19"/>
    </row>
    <row r="30" spans="1:8" ht="14">
      <c r="A30" s="192"/>
      <c r="B30" s="36"/>
      <c r="C30" s="9"/>
      <c r="D30" s="9"/>
      <c r="E30" s="9"/>
      <c r="F30" s="170"/>
      <c r="G30" s="171"/>
      <c r="H30" s="19"/>
    </row>
    <row r="31" spans="1:8" ht="14">
      <c r="A31" s="192">
        <v>16</v>
      </c>
      <c r="B31" s="25"/>
      <c r="C31" s="179" t="s">
        <v>334</v>
      </c>
      <c r="D31" s="11"/>
      <c r="E31" s="11"/>
      <c r="F31" s="172">
        <f>SUM(F26:F30)</f>
        <v>2500</v>
      </c>
      <c r="G31" s="173"/>
      <c r="H31" s="174"/>
    </row>
    <row r="32" spans="1:8" ht="14">
      <c r="A32" s="192"/>
      <c r="B32" s="36"/>
      <c r="D32" s="9"/>
      <c r="E32" s="9"/>
      <c r="F32" s="170"/>
      <c r="G32" s="171"/>
      <c r="H32" s="19"/>
    </row>
    <row r="33" spans="1:8" ht="14">
      <c r="A33" s="192"/>
      <c r="B33" s="80" t="s">
        <v>335</v>
      </c>
      <c r="C33" s="9"/>
      <c r="D33" s="9"/>
      <c r="E33" s="9"/>
      <c r="F33" s="170"/>
      <c r="G33" s="171"/>
      <c r="H33" s="19"/>
    </row>
    <row r="34" spans="1:8" ht="14">
      <c r="A34" s="192">
        <v>17</v>
      </c>
      <c r="B34" s="36"/>
      <c r="C34" s="9" t="s">
        <v>336</v>
      </c>
      <c r="D34" s="9"/>
      <c r="E34" s="9"/>
      <c r="F34" s="170">
        <v>65000</v>
      </c>
      <c r="G34" s="171"/>
      <c r="H34" s="19" t="s">
        <v>549</v>
      </c>
    </row>
    <row r="35" spans="1:8" ht="14">
      <c r="A35" s="192">
        <v>18</v>
      </c>
      <c r="B35" s="36"/>
      <c r="C35" s="9" t="s">
        <v>337</v>
      </c>
      <c r="D35" s="9"/>
      <c r="E35" s="9"/>
      <c r="F35" s="170"/>
      <c r="G35" s="171"/>
      <c r="H35" s="19"/>
    </row>
    <row r="36" spans="1:8" ht="14">
      <c r="A36" s="192">
        <v>19</v>
      </c>
      <c r="B36" s="36"/>
      <c r="C36" s="9" t="s">
        <v>338</v>
      </c>
      <c r="D36" s="9"/>
      <c r="E36" s="9"/>
      <c r="F36" s="170"/>
      <c r="G36" s="171"/>
      <c r="H36" s="19"/>
    </row>
    <row r="37" spans="1:8" ht="14">
      <c r="A37" s="192">
        <v>20</v>
      </c>
      <c r="B37" s="36"/>
      <c r="C37" s="9" t="s">
        <v>339</v>
      </c>
      <c r="D37" s="9"/>
      <c r="E37" s="9"/>
      <c r="F37" s="170"/>
      <c r="G37" s="171"/>
      <c r="H37" s="19"/>
    </row>
    <row r="38" spans="1:8" ht="14">
      <c r="A38" s="192">
        <v>21</v>
      </c>
      <c r="B38" s="36"/>
      <c r="C38" s="9" t="s">
        <v>340</v>
      </c>
      <c r="D38" s="9"/>
      <c r="E38" s="9"/>
      <c r="F38" s="170"/>
      <c r="G38" s="171"/>
      <c r="H38" s="19"/>
    </row>
    <row r="39" spans="1:8" ht="14">
      <c r="A39" s="192">
        <v>22</v>
      </c>
      <c r="B39" s="36"/>
      <c r="C39" s="9" t="s">
        <v>341</v>
      </c>
      <c r="D39" s="9"/>
      <c r="E39" s="9"/>
      <c r="F39" s="170"/>
      <c r="G39" s="171"/>
      <c r="H39" s="19"/>
    </row>
    <row r="40" spans="1:8" ht="14">
      <c r="A40" s="192">
        <v>23</v>
      </c>
      <c r="B40" s="36"/>
      <c r="C40" s="9" t="s">
        <v>342</v>
      </c>
      <c r="D40" s="9"/>
      <c r="E40" s="9"/>
      <c r="F40" s="170">
        <v>750</v>
      </c>
      <c r="G40" s="171"/>
      <c r="H40" s="19" t="s">
        <v>554</v>
      </c>
    </row>
    <row r="41" spans="1:8" ht="14">
      <c r="A41" s="192">
        <v>24</v>
      </c>
      <c r="B41" s="36"/>
      <c r="C41" s="9" t="s">
        <v>343</v>
      </c>
      <c r="D41" s="9"/>
      <c r="E41" s="9"/>
      <c r="F41" s="170"/>
      <c r="G41" s="171"/>
      <c r="H41" s="19"/>
    </row>
    <row r="42" spans="1:8" ht="14">
      <c r="A42" s="192"/>
      <c r="B42" s="36"/>
      <c r="C42" s="9"/>
      <c r="D42" s="9"/>
      <c r="E42" s="9"/>
      <c r="F42" s="170"/>
      <c r="G42" s="171"/>
      <c r="H42" s="19"/>
    </row>
    <row r="43" spans="1:8" ht="14">
      <c r="A43" s="192">
        <v>25</v>
      </c>
      <c r="B43" s="25"/>
      <c r="C43" s="179" t="s">
        <v>344</v>
      </c>
      <c r="D43" s="11"/>
      <c r="E43" s="11"/>
      <c r="F43" s="172">
        <f>SUM(F34:F42)</f>
        <v>65750</v>
      </c>
      <c r="G43" s="173"/>
      <c r="H43" s="174"/>
    </row>
    <row r="44" spans="1:8" ht="14">
      <c r="A44" s="192"/>
      <c r="B44" s="36"/>
      <c r="D44" s="9"/>
      <c r="E44" s="9"/>
      <c r="F44" s="170"/>
      <c r="G44" s="171"/>
      <c r="H44" s="19"/>
    </row>
    <row r="45" spans="1:8" ht="14">
      <c r="A45" s="192"/>
      <c r="B45" s="80" t="s">
        <v>345</v>
      </c>
      <c r="C45" s="9"/>
      <c r="D45" s="9"/>
      <c r="E45" s="9"/>
      <c r="F45" s="170"/>
      <c r="G45" s="171"/>
      <c r="H45" s="19"/>
    </row>
    <row r="46" spans="1:8" ht="14">
      <c r="A46" s="192">
        <v>26</v>
      </c>
      <c r="B46" s="36"/>
      <c r="C46" s="9" t="s">
        <v>346</v>
      </c>
      <c r="D46" s="9"/>
      <c r="E46" s="9"/>
      <c r="F46" s="170"/>
      <c r="G46" s="171"/>
      <c r="H46" s="19"/>
    </row>
    <row r="47" spans="1:8" ht="14">
      <c r="A47" s="192">
        <v>27</v>
      </c>
      <c r="B47" s="36"/>
      <c r="C47" s="9" t="s">
        <v>347</v>
      </c>
      <c r="D47" s="9"/>
      <c r="E47" s="9"/>
      <c r="F47" s="170">
        <v>5000</v>
      </c>
      <c r="G47" s="171"/>
      <c r="H47" s="19"/>
    </row>
    <row r="48" spans="1:8" ht="14">
      <c r="A48" s="192"/>
      <c r="B48" s="36"/>
      <c r="C48" s="9"/>
      <c r="D48" s="9"/>
      <c r="E48" s="9"/>
      <c r="F48" s="170"/>
      <c r="G48" s="171"/>
      <c r="H48" s="19"/>
    </row>
    <row r="49" spans="1:8" ht="14">
      <c r="A49" s="194">
        <v>28</v>
      </c>
      <c r="B49" s="180"/>
      <c r="C49" s="179" t="s">
        <v>348</v>
      </c>
      <c r="D49" s="112"/>
      <c r="E49" s="112"/>
      <c r="F49" s="181">
        <f>SUM(F46:F48)</f>
        <v>5000</v>
      </c>
      <c r="G49" s="182"/>
      <c r="H49" s="183"/>
    </row>
    <row r="50" spans="1:8" ht="14">
      <c r="A50" s="194"/>
      <c r="B50" s="42"/>
      <c r="D50" s="43"/>
      <c r="E50" s="43"/>
      <c r="F50" s="184"/>
      <c r="G50" s="185"/>
      <c r="H50" s="23"/>
    </row>
    <row r="51" spans="1:8" ht="15" thickBot="1">
      <c r="A51" s="195">
        <v>29</v>
      </c>
      <c r="B51" s="186"/>
      <c r="C51" s="187" t="s">
        <v>349</v>
      </c>
      <c r="D51" s="188"/>
      <c r="E51" s="188"/>
      <c r="F51" s="189">
        <f>F23+F31+F43+F49</f>
        <v>214429</v>
      </c>
      <c r="G51" s="190"/>
      <c r="H51" s="191"/>
    </row>
    <row r="52" spans="1:8" ht="14" thickTop="1"/>
  </sheetData>
  <mergeCells count="4">
    <mergeCell ref="B4:D5"/>
    <mergeCell ref="F4:F5"/>
    <mergeCell ref="H4:H5"/>
    <mergeCell ref="D1:G1"/>
  </mergeCells>
  <phoneticPr fontId="0" type="noConversion"/>
  <pageMargins left="0.28999999999999998" right="0.34" top="0.37" bottom="0.36" header="0.2" footer="0.2"/>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K699"/>
  <sheetViews>
    <sheetView zoomScaleNormal="100" workbookViewId="0">
      <pane xSplit="4" ySplit="7" topLeftCell="E128" activePane="bottomRight" state="frozen"/>
      <selection activeCell="A12" sqref="A12:O12"/>
      <selection pane="topRight" activeCell="A12" sqref="A12:O12"/>
      <selection pane="bottomLeft" activeCell="A12" sqref="A12:O12"/>
      <selection pane="bottomRight" activeCell="G79" sqref="G79"/>
    </sheetView>
  </sheetViews>
  <sheetFormatPr baseColWidth="10" defaultColWidth="9.1640625" defaultRowHeight="14"/>
  <cols>
    <col min="1" max="1" width="4.1640625" style="32" customWidth="1"/>
    <col min="2" max="2" width="5.33203125" style="13" customWidth="1"/>
    <col min="3" max="3" width="4.6640625" style="13" customWidth="1"/>
    <col min="4" max="4" width="48.6640625" style="2" customWidth="1"/>
    <col min="5" max="5" width="7.33203125" style="3" customWidth="1"/>
    <col min="6" max="6" width="10.1640625" style="3" customWidth="1"/>
    <col min="7" max="7" width="11.33203125" style="342" customWidth="1"/>
    <col min="8" max="8" width="85.83203125" style="261" customWidth="1"/>
    <col min="9" max="22" width="11.6640625" style="13" customWidth="1"/>
    <col min="23" max="32" width="11.6640625" style="2" customWidth="1"/>
    <col min="33" max="16384" width="9.1640625" style="2"/>
  </cols>
  <sheetData>
    <row r="1" spans="1:37" ht="33.75" customHeight="1">
      <c r="A1" s="294" t="s">
        <v>313</v>
      </c>
      <c r="B1" s="293"/>
      <c r="C1" s="293"/>
      <c r="D1" s="295" t="s">
        <v>512</v>
      </c>
      <c r="E1" s="5"/>
      <c r="F1" s="5"/>
      <c r="G1" s="313"/>
      <c r="H1" s="252"/>
      <c r="I1" s="21"/>
      <c r="J1" s="21"/>
      <c r="K1" s="21"/>
      <c r="L1" s="21"/>
    </row>
    <row r="2" spans="1:37" ht="18" customHeight="1">
      <c r="A2" s="492" t="s">
        <v>359</v>
      </c>
      <c r="B2" s="492"/>
      <c r="C2" s="492"/>
      <c r="D2" s="492"/>
      <c r="E2" s="492"/>
      <c r="F2" s="492"/>
      <c r="G2" s="492"/>
      <c r="H2" s="492"/>
      <c r="I2" s="228"/>
      <c r="J2" s="228"/>
      <c r="K2" s="228"/>
      <c r="L2" s="228"/>
      <c r="M2" s="228"/>
      <c r="N2" s="228"/>
      <c r="O2" s="228"/>
      <c r="P2" s="228"/>
      <c r="Q2" s="228"/>
      <c r="R2" s="228"/>
      <c r="S2" s="228"/>
      <c r="T2" s="228"/>
    </row>
    <row r="3" spans="1:37" ht="18" customHeight="1">
      <c r="A3" s="281"/>
      <c r="B3" s="281"/>
      <c r="C3" s="281"/>
      <c r="D3" s="281"/>
      <c r="E3" s="281"/>
      <c r="F3" s="281"/>
      <c r="G3" s="314"/>
      <c r="H3" s="281"/>
      <c r="I3" s="228"/>
      <c r="J3" s="228"/>
      <c r="K3" s="228"/>
      <c r="L3" s="228"/>
      <c r="M3" s="228"/>
      <c r="N3" s="228"/>
      <c r="O3" s="228"/>
      <c r="P3" s="228"/>
      <c r="Q3" s="228"/>
      <c r="R3" s="228"/>
      <c r="S3" s="228"/>
      <c r="T3" s="228"/>
    </row>
    <row r="4" spans="1:37" ht="35.25" customHeight="1">
      <c r="A4" s="502" t="s">
        <v>363</v>
      </c>
      <c r="B4" s="503"/>
      <c r="C4" s="503"/>
      <c r="D4" s="503"/>
      <c r="E4" s="503"/>
      <c r="F4" s="503"/>
      <c r="G4" s="503"/>
      <c r="H4" s="504"/>
      <c r="I4" s="228"/>
      <c r="J4" s="228"/>
      <c r="K4" s="228"/>
      <c r="L4" s="228"/>
      <c r="M4" s="228"/>
      <c r="N4" s="228"/>
      <c r="O4" s="228"/>
      <c r="P4" s="228"/>
      <c r="Q4" s="228"/>
      <c r="R4" s="228"/>
      <c r="S4" s="228"/>
      <c r="T4" s="228"/>
    </row>
    <row r="5" spans="1:37" ht="18.75" customHeight="1" thickBot="1">
      <c r="A5" s="27"/>
      <c r="B5" s="21"/>
      <c r="C5" s="21"/>
      <c r="D5" s="5"/>
      <c r="E5" s="5"/>
      <c r="F5" s="5"/>
      <c r="G5" s="313"/>
      <c r="H5" s="252"/>
      <c r="I5" s="21"/>
      <c r="J5" s="21"/>
      <c r="K5" s="21"/>
      <c r="L5" s="21"/>
    </row>
    <row r="6" spans="1:37" s="1" customFormat="1" ht="15.75" customHeight="1" thickTop="1">
      <c r="A6" s="28"/>
      <c r="B6" s="484" t="s">
        <v>239</v>
      </c>
      <c r="C6" s="485"/>
      <c r="D6" s="485"/>
      <c r="E6" s="487" t="s">
        <v>232</v>
      </c>
      <c r="F6" s="498" t="s">
        <v>233</v>
      </c>
      <c r="G6" s="505" t="s">
        <v>314</v>
      </c>
      <c r="H6" s="500" t="s">
        <v>315</v>
      </c>
      <c r="I6" s="494"/>
      <c r="J6" s="494"/>
      <c r="K6" s="494"/>
      <c r="L6" s="494"/>
      <c r="M6" s="494"/>
      <c r="N6" s="494"/>
      <c r="O6" s="494"/>
      <c r="P6" s="494"/>
      <c r="Q6" s="494"/>
      <c r="R6" s="494"/>
      <c r="S6" s="494"/>
      <c r="T6" s="494"/>
      <c r="U6" s="221"/>
      <c r="V6" s="221"/>
      <c r="W6" s="221"/>
      <c r="X6" s="221"/>
      <c r="Y6" s="221"/>
      <c r="Z6" s="221"/>
      <c r="AA6" s="221"/>
      <c r="AB6" s="221"/>
      <c r="AC6" s="221"/>
      <c r="AD6" s="221"/>
      <c r="AE6" s="221"/>
      <c r="AF6" s="221"/>
      <c r="AG6" s="221"/>
      <c r="AH6" s="221"/>
      <c r="AI6" s="221"/>
      <c r="AJ6" s="221"/>
      <c r="AK6" s="221"/>
    </row>
    <row r="7" spans="1:37" s="40" customFormat="1" ht="15" thickBot="1">
      <c r="A7" s="37"/>
      <c r="B7" s="496"/>
      <c r="C7" s="496"/>
      <c r="D7" s="496"/>
      <c r="E7" s="497"/>
      <c r="F7" s="499"/>
      <c r="G7" s="506"/>
      <c r="H7" s="501"/>
      <c r="I7" s="495"/>
      <c r="J7" s="495"/>
      <c r="K7" s="495"/>
      <c r="L7" s="495"/>
      <c r="M7" s="495"/>
      <c r="N7" s="495"/>
      <c r="O7" s="495"/>
      <c r="P7" s="495"/>
      <c r="Q7" s="495"/>
      <c r="R7" s="495"/>
      <c r="S7" s="495"/>
      <c r="T7" s="495"/>
      <c r="U7" s="221"/>
      <c r="V7" s="221"/>
      <c r="W7" s="221"/>
      <c r="X7" s="221"/>
      <c r="Y7" s="221"/>
      <c r="Z7" s="221"/>
      <c r="AA7" s="221"/>
      <c r="AB7" s="221"/>
      <c r="AC7" s="221"/>
      <c r="AD7" s="221"/>
      <c r="AE7" s="221"/>
      <c r="AF7" s="221"/>
      <c r="AG7" s="221"/>
      <c r="AH7" s="221"/>
      <c r="AI7" s="221"/>
      <c r="AJ7" s="221"/>
      <c r="AK7" s="221"/>
    </row>
    <row r="8" spans="1:37" s="39" customFormat="1" ht="20.25" customHeight="1" thickTop="1">
      <c r="A8" s="38"/>
      <c r="B8" s="41" t="s">
        <v>267</v>
      </c>
      <c r="E8" s="69"/>
      <c r="F8" s="227"/>
      <c r="G8" s="315"/>
      <c r="H8" s="253"/>
      <c r="I8" s="219"/>
      <c r="J8" s="219"/>
      <c r="K8" s="219"/>
      <c r="L8" s="219"/>
      <c r="M8" s="219"/>
      <c r="N8" s="219"/>
      <c r="O8" s="219"/>
      <c r="P8" s="219"/>
      <c r="Q8" s="219"/>
      <c r="R8" s="219"/>
      <c r="S8" s="219"/>
      <c r="T8" s="219"/>
      <c r="U8" s="101"/>
      <c r="V8" s="101"/>
      <c r="W8" s="101"/>
      <c r="X8" s="101"/>
      <c r="Y8" s="101"/>
      <c r="Z8" s="101"/>
      <c r="AA8" s="101"/>
      <c r="AB8" s="101"/>
      <c r="AC8" s="101"/>
      <c r="AD8" s="101"/>
      <c r="AE8" s="101"/>
      <c r="AF8" s="101"/>
      <c r="AG8" s="101"/>
      <c r="AH8" s="101"/>
      <c r="AI8" s="101"/>
      <c r="AJ8" s="101"/>
      <c r="AK8" s="101"/>
    </row>
    <row r="9" spans="1:37" ht="3" customHeight="1">
      <c r="A9" s="29"/>
      <c r="B9" s="35"/>
      <c r="C9" s="12"/>
      <c r="D9" s="12"/>
      <c r="E9" s="71"/>
      <c r="F9" s="138"/>
      <c r="G9" s="316"/>
      <c r="H9" s="254"/>
      <c r="I9" s="219"/>
      <c r="J9" s="219"/>
      <c r="K9" s="219"/>
      <c r="L9" s="219"/>
      <c r="M9" s="219"/>
      <c r="N9" s="219"/>
      <c r="O9" s="219"/>
      <c r="P9" s="219"/>
      <c r="Q9" s="219"/>
      <c r="R9" s="219"/>
      <c r="S9" s="219"/>
      <c r="T9" s="219"/>
      <c r="U9" s="101"/>
      <c r="V9" s="101"/>
      <c r="W9" s="101"/>
      <c r="X9" s="101"/>
      <c r="Y9" s="101"/>
      <c r="Z9" s="101"/>
      <c r="AA9" s="101"/>
      <c r="AB9" s="101"/>
      <c r="AC9" s="101"/>
      <c r="AD9" s="101"/>
      <c r="AE9" s="101"/>
      <c r="AF9" s="101"/>
      <c r="AG9" s="101"/>
      <c r="AH9" s="101"/>
      <c r="AI9" s="101"/>
      <c r="AJ9" s="101"/>
      <c r="AK9" s="101"/>
    </row>
    <row r="10" spans="1:37">
      <c r="A10" s="30"/>
      <c r="B10" s="25" t="s">
        <v>32</v>
      </c>
      <c r="C10" s="11"/>
      <c r="D10" s="11"/>
      <c r="E10" s="61"/>
      <c r="F10" s="139"/>
      <c r="G10" s="317"/>
      <c r="H10" s="255"/>
      <c r="I10" s="219"/>
      <c r="J10" s="219"/>
      <c r="K10" s="219"/>
      <c r="L10" s="219"/>
      <c r="M10" s="219"/>
      <c r="N10" s="219"/>
      <c r="O10" s="219"/>
      <c r="P10" s="219"/>
      <c r="Q10" s="219"/>
      <c r="R10" s="219"/>
      <c r="S10" s="219"/>
      <c r="T10" s="219"/>
      <c r="U10" s="101"/>
      <c r="V10" s="101"/>
      <c r="W10" s="101"/>
      <c r="X10" s="101"/>
      <c r="Y10" s="101"/>
      <c r="Z10" s="101"/>
      <c r="AA10" s="101"/>
      <c r="AB10" s="101"/>
      <c r="AC10" s="101"/>
      <c r="AD10" s="101"/>
      <c r="AE10" s="101"/>
      <c r="AF10" s="101"/>
      <c r="AG10" s="101"/>
      <c r="AH10" s="101"/>
      <c r="AI10" s="101"/>
      <c r="AJ10" s="101"/>
      <c r="AK10" s="101"/>
    </row>
    <row r="11" spans="1:37">
      <c r="A11" s="192">
        <v>1</v>
      </c>
      <c r="B11" s="36"/>
      <c r="C11" s="9" t="s">
        <v>293</v>
      </c>
      <c r="D11" s="9"/>
      <c r="E11" s="18"/>
      <c r="F11" s="140" t="s">
        <v>277</v>
      </c>
      <c r="G11" s="312">
        <f>Assumptions!B17*SUM(Assumptions!D41:D42)</f>
        <v>1674600</v>
      </c>
      <c r="H11" s="256"/>
      <c r="I11" s="219"/>
      <c r="J11" s="219"/>
      <c r="K11" s="219"/>
      <c r="L11" s="219"/>
      <c r="M11" s="219"/>
      <c r="N11" s="219"/>
      <c r="O11" s="219"/>
      <c r="P11" s="219"/>
      <c r="Q11" s="219"/>
      <c r="R11" s="219"/>
      <c r="S11" s="219"/>
      <c r="T11" s="219"/>
      <c r="U11" s="101"/>
      <c r="V11" s="101"/>
      <c r="W11" s="101"/>
      <c r="X11" s="101"/>
      <c r="Y11" s="101"/>
      <c r="Z11" s="101"/>
      <c r="AA11" s="101"/>
      <c r="AB11" s="101"/>
      <c r="AC11" s="101"/>
      <c r="AD11" s="101"/>
      <c r="AE11" s="101"/>
      <c r="AF11" s="101"/>
      <c r="AG11" s="101"/>
      <c r="AH11" s="101"/>
      <c r="AI11" s="101"/>
      <c r="AJ11" s="101"/>
      <c r="AK11" s="101"/>
    </row>
    <row r="12" spans="1:37">
      <c r="A12" s="192">
        <v>2</v>
      </c>
      <c r="B12" s="36"/>
      <c r="C12" s="9" t="s">
        <v>35</v>
      </c>
      <c r="D12" s="9"/>
      <c r="E12" s="18"/>
      <c r="F12" s="140" t="s">
        <v>216</v>
      </c>
      <c r="G12" s="312">
        <v>0</v>
      </c>
      <c r="H12" s="256"/>
      <c r="I12" s="219"/>
      <c r="J12" s="219"/>
      <c r="K12" s="219"/>
      <c r="L12" s="219"/>
      <c r="M12" s="219"/>
      <c r="N12" s="219"/>
      <c r="O12" s="219"/>
      <c r="P12" s="219"/>
      <c r="Q12" s="219"/>
      <c r="R12" s="219"/>
      <c r="S12" s="219"/>
      <c r="T12" s="219"/>
      <c r="U12" s="101"/>
      <c r="V12" s="101"/>
      <c r="W12" s="101"/>
      <c r="X12" s="101"/>
      <c r="Y12" s="101"/>
      <c r="Z12" s="101"/>
      <c r="AA12" s="101"/>
      <c r="AB12" s="101"/>
      <c r="AC12" s="101"/>
      <c r="AD12" s="101"/>
      <c r="AE12" s="101"/>
      <c r="AF12" s="101"/>
      <c r="AG12" s="101"/>
      <c r="AH12" s="101"/>
      <c r="AI12" s="101"/>
      <c r="AJ12" s="101"/>
      <c r="AK12" s="101"/>
    </row>
    <row r="13" spans="1:37">
      <c r="A13" s="192">
        <v>3</v>
      </c>
      <c r="B13" s="36"/>
      <c r="C13" s="9" t="s">
        <v>36</v>
      </c>
      <c r="D13" s="9"/>
      <c r="E13" s="18"/>
      <c r="F13" s="140" t="s">
        <v>217</v>
      </c>
      <c r="G13" s="312">
        <v>300</v>
      </c>
      <c r="H13" s="256" t="s">
        <v>482</v>
      </c>
      <c r="I13" s="219"/>
      <c r="J13" s="219"/>
      <c r="K13" s="219"/>
      <c r="L13" s="219"/>
      <c r="M13" s="219"/>
      <c r="N13" s="219"/>
      <c r="O13" s="219"/>
      <c r="P13" s="219"/>
      <c r="Q13" s="219"/>
      <c r="R13" s="219"/>
      <c r="S13" s="219"/>
      <c r="T13" s="219"/>
      <c r="U13" s="101"/>
      <c r="V13" s="101"/>
      <c r="W13" s="101"/>
      <c r="X13" s="101"/>
      <c r="Y13" s="101"/>
      <c r="Z13" s="101"/>
      <c r="AA13" s="101"/>
      <c r="AB13" s="101"/>
      <c r="AC13" s="101"/>
      <c r="AD13" s="101"/>
      <c r="AE13" s="101"/>
      <c r="AF13" s="101"/>
      <c r="AG13" s="101"/>
      <c r="AH13" s="101"/>
      <c r="AI13" s="101"/>
      <c r="AJ13" s="101"/>
      <c r="AK13" s="101"/>
    </row>
    <row r="14" spans="1:37">
      <c r="A14" s="192">
        <v>4</v>
      </c>
      <c r="B14" s="36"/>
      <c r="C14" s="9" t="s">
        <v>37</v>
      </c>
      <c r="D14" s="9"/>
      <c r="E14" s="18"/>
      <c r="F14" s="140">
        <v>1800</v>
      </c>
      <c r="G14" s="312">
        <v>0</v>
      </c>
      <c r="H14" s="256"/>
      <c r="I14" s="219"/>
      <c r="J14" s="219"/>
      <c r="K14" s="219"/>
      <c r="L14" s="219"/>
      <c r="M14" s="219"/>
      <c r="N14" s="219"/>
      <c r="O14" s="219"/>
      <c r="P14" s="219"/>
      <c r="Q14" s="219"/>
      <c r="R14" s="219"/>
      <c r="S14" s="219"/>
      <c r="T14" s="219"/>
      <c r="U14" s="101"/>
      <c r="V14" s="101"/>
      <c r="W14" s="101"/>
      <c r="X14" s="101"/>
      <c r="Y14" s="101"/>
      <c r="Z14" s="101"/>
      <c r="AA14" s="101"/>
      <c r="AB14" s="101"/>
      <c r="AC14" s="101"/>
      <c r="AD14" s="101"/>
      <c r="AE14" s="101"/>
      <c r="AF14" s="101"/>
      <c r="AG14" s="101"/>
      <c r="AH14" s="101"/>
      <c r="AI14" s="101"/>
      <c r="AJ14" s="101"/>
      <c r="AK14" s="101"/>
    </row>
    <row r="15" spans="1:37">
      <c r="A15" s="192"/>
      <c r="B15" s="36"/>
      <c r="C15" s="9" t="s">
        <v>38</v>
      </c>
      <c r="D15" s="9"/>
      <c r="E15" s="61"/>
      <c r="F15" s="139"/>
      <c r="G15" s="317"/>
      <c r="H15" s="255"/>
      <c r="I15" s="219"/>
      <c r="J15" s="219"/>
      <c r="K15" s="219"/>
      <c r="L15" s="219"/>
      <c r="M15" s="219"/>
      <c r="N15" s="219"/>
      <c r="O15" s="219"/>
      <c r="P15" s="219"/>
      <c r="Q15" s="219"/>
      <c r="R15" s="219"/>
      <c r="S15" s="219"/>
      <c r="T15" s="219"/>
      <c r="U15" s="101"/>
      <c r="V15" s="101"/>
      <c r="W15" s="101"/>
      <c r="X15" s="101"/>
      <c r="Y15" s="101"/>
      <c r="Z15" s="101"/>
      <c r="AA15" s="101"/>
      <c r="AB15" s="101"/>
      <c r="AC15" s="101"/>
      <c r="AD15" s="101"/>
      <c r="AE15" s="101"/>
      <c r="AF15" s="101"/>
      <c r="AG15" s="101"/>
      <c r="AH15" s="101"/>
      <c r="AI15" s="101"/>
      <c r="AJ15" s="101"/>
      <c r="AK15" s="101"/>
    </row>
    <row r="16" spans="1:37">
      <c r="A16" s="192">
        <v>5</v>
      </c>
      <c r="B16" s="36"/>
      <c r="C16" s="9"/>
      <c r="D16" s="9" t="s">
        <v>39</v>
      </c>
      <c r="E16" s="18"/>
      <c r="F16" s="140" t="s">
        <v>40</v>
      </c>
      <c r="G16" s="312">
        <f>Assumptions!B18*Assumptions!D71</f>
        <v>0</v>
      </c>
      <c r="H16" s="256"/>
      <c r="I16" s="219"/>
      <c r="J16" s="219"/>
      <c r="K16" s="219"/>
      <c r="L16" s="219"/>
      <c r="M16" s="219"/>
      <c r="N16" s="219"/>
      <c r="O16" s="219"/>
      <c r="P16" s="219"/>
      <c r="Q16" s="219"/>
      <c r="R16" s="219"/>
      <c r="S16" s="219"/>
      <c r="T16" s="219"/>
      <c r="U16" s="101"/>
      <c r="V16" s="101"/>
      <c r="W16" s="101"/>
      <c r="X16" s="101"/>
      <c r="Y16" s="101"/>
      <c r="Z16" s="101"/>
      <c r="AA16" s="101"/>
      <c r="AB16" s="101"/>
      <c r="AC16" s="101"/>
      <c r="AD16" s="101"/>
      <c r="AE16" s="101"/>
      <c r="AF16" s="101"/>
      <c r="AG16" s="101"/>
      <c r="AH16" s="101"/>
      <c r="AI16" s="101"/>
      <c r="AJ16" s="101"/>
      <c r="AK16" s="101"/>
    </row>
    <row r="17" spans="1:37">
      <c r="A17" s="192">
        <v>6</v>
      </c>
      <c r="B17" s="36"/>
      <c r="C17" s="9"/>
      <c r="D17" s="9" t="s">
        <v>41</v>
      </c>
      <c r="E17" s="18"/>
      <c r="F17" s="140" t="s">
        <v>42</v>
      </c>
      <c r="G17" s="312">
        <v>0</v>
      </c>
      <c r="H17" s="256"/>
      <c r="I17" s="219"/>
      <c r="J17" s="219"/>
      <c r="K17" s="219"/>
      <c r="L17" s="219"/>
      <c r="M17" s="219"/>
      <c r="N17" s="219"/>
      <c r="O17" s="219"/>
      <c r="P17" s="219"/>
      <c r="Q17" s="219"/>
      <c r="R17" s="219"/>
      <c r="S17" s="219"/>
      <c r="T17" s="219"/>
      <c r="U17" s="101"/>
      <c r="V17" s="101"/>
      <c r="W17" s="101"/>
      <c r="X17" s="101"/>
      <c r="Y17" s="101"/>
      <c r="Z17" s="101"/>
      <c r="AA17" s="101"/>
      <c r="AB17" s="101"/>
      <c r="AC17" s="101"/>
      <c r="AD17" s="101"/>
      <c r="AE17" s="101"/>
      <c r="AF17" s="101"/>
      <c r="AG17" s="101"/>
      <c r="AH17" s="101"/>
      <c r="AI17" s="101"/>
      <c r="AJ17" s="101"/>
      <c r="AK17" s="101"/>
    </row>
    <row r="18" spans="1:37">
      <c r="A18" s="194">
        <v>7</v>
      </c>
      <c r="B18" s="42"/>
      <c r="C18" s="43"/>
      <c r="D18" s="43" t="s">
        <v>255</v>
      </c>
      <c r="E18" s="22"/>
      <c r="F18" s="143" t="s">
        <v>218</v>
      </c>
      <c r="G18" s="368">
        <f>Assumptions!B18*Assumptions!$D$66</f>
        <v>13500</v>
      </c>
      <c r="H18" s="257"/>
      <c r="I18" s="219"/>
      <c r="J18" s="219"/>
      <c r="K18" s="219"/>
      <c r="L18" s="219"/>
      <c r="M18" s="219"/>
      <c r="N18" s="219"/>
      <c r="O18" s="219"/>
      <c r="P18" s="219"/>
      <c r="Q18" s="219"/>
      <c r="R18" s="219"/>
      <c r="S18" s="219"/>
      <c r="T18" s="219"/>
      <c r="U18" s="101"/>
      <c r="V18" s="101"/>
      <c r="W18" s="101"/>
      <c r="X18" s="101"/>
      <c r="Y18" s="101"/>
      <c r="Z18" s="101"/>
      <c r="AA18" s="101"/>
      <c r="AB18" s="101"/>
      <c r="AC18" s="101"/>
      <c r="AD18" s="101"/>
      <c r="AE18" s="101"/>
      <c r="AF18" s="101"/>
      <c r="AG18" s="101"/>
      <c r="AH18" s="101"/>
      <c r="AI18" s="101"/>
      <c r="AJ18" s="101"/>
      <c r="AK18" s="101"/>
    </row>
    <row r="19" spans="1:37" s="94" customFormat="1" ht="13">
      <c r="A19" s="196">
        <v>8</v>
      </c>
      <c r="B19" s="91"/>
      <c r="C19" s="82" t="s">
        <v>17</v>
      </c>
      <c r="D19" s="82"/>
      <c r="E19" s="92"/>
      <c r="F19" s="142"/>
      <c r="G19" s="319"/>
      <c r="H19" s="251"/>
      <c r="I19" s="224"/>
      <c r="J19" s="224"/>
      <c r="K19" s="224"/>
      <c r="L19" s="224"/>
      <c r="M19" s="224"/>
      <c r="N19" s="224"/>
      <c r="O19" s="224"/>
      <c r="P19" s="224"/>
      <c r="Q19" s="224"/>
      <c r="R19" s="224"/>
      <c r="S19" s="224"/>
      <c r="T19" s="219"/>
      <c r="U19" s="223"/>
      <c r="V19" s="223"/>
      <c r="W19" s="223"/>
      <c r="X19" s="223"/>
      <c r="Y19" s="223"/>
      <c r="Z19" s="223"/>
      <c r="AA19" s="223"/>
      <c r="AB19" s="223"/>
      <c r="AC19" s="223"/>
      <c r="AD19" s="223"/>
      <c r="AE19" s="223"/>
      <c r="AF19" s="223"/>
      <c r="AG19" s="223"/>
      <c r="AH19" s="223"/>
      <c r="AI19" s="223"/>
      <c r="AJ19" s="223"/>
      <c r="AK19" s="223"/>
    </row>
    <row r="20" spans="1:37">
      <c r="A20" s="194">
        <v>9</v>
      </c>
      <c r="B20" s="42"/>
      <c r="C20" s="43"/>
      <c r="D20" s="43"/>
      <c r="E20" s="22"/>
      <c r="F20" s="143"/>
      <c r="G20" s="318"/>
      <c r="H20" s="257"/>
      <c r="I20" s="219"/>
      <c r="J20" s="219"/>
      <c r="K20" s="219"/>
      <c r="L20" s="219"/>
      <c r="M20" s="219"/>
      <c r="N20" s="219"/>
      <c r="O20" s="219"/>
      <c r="P20" s="219"/>
      <c r="Q20" s="219"/>
      <c r="R20" s="219"/>
      <c r="S20" s="219"/>
      <c r="T20" s="219"/>
      <c r="U20" s="101"/>
      <c r="V20" s="101"/>
      <c r="W20" s="101"/>
      <c r="X20" s="101"/>
      <c r="Y20" s="101"/>
      <c r="Z20" s="101"/>
      <c r="AA20" s="101"/>
      <c r="AB20" s="101"/>
      <c r="AC20" s="101"/>
      <c r="AD20" s="101"/>
      <c r="AE20" s="101"/>
      <c r="AF20" s="101"/>
      <c r="AG20" s="101"/>
      <c r="AH20" s="101"/>
      <c r="AI20" s="101"/>
      <c r="AJ20" s="101"/>
      <c r="AK20" s="101"/>
    </row>
    <row r="21" spans="1:37">
      <c r="A21" s="197">
        <v>10</v>
      </c>
      <c r="B21" s="47" t="s">
        <v>269</v>
      </c>
      <c r="C21" s="6"/>
      <c r="D21" s="48"/>
      <c r="E21" s="49"/>
      <c r="F21" s="144"/>
      <c r="G21" s="320">
        <f>SUM(G11:G20)</f>
        <v>1688400</v>
      </c>
      <c r="H21" s="258"/>
      <c r="I21" s="219"/>
      <c r="J21" s="219"/>
      <c r="K21" s="219"/>
      <c r="L21" s="219"/>
      <c r="M21" s="219"/>
      <c r="N21" s="219"/>
      <c r="O21" s="219"/>
      <c r="P21" s="219"/>
      <c r="Q21" s="219"/>
      <c r="R21" s="219"/>
      <c r="S21" s="219"/>
      <c r="T21" s="219"/>
      <c r="U21" s="101"/>
      <c r="V21" s="101"/>
      <c r="W21" s="101"/>
      <c r="X21" s="101"/>
      <c r="Y21" s="101"/>
      <c r="Z21" s="101"/>
      <c r="AA21" s="101"/>
      <c r="AB21" s="101"/>
      <c r="AC21" s="101"/>
      <c r="AD21" s="101"/>
      <c r="AE21" s="101"/>
      <c r="AF21" s="101"/>
      <c r="AG21" s="101"/>
      <c r="AH21" s="101"/>
      <c r="AI21" s="101"/>
      <c r="AJ21" s="101"/>
      <c r="AK21" s="101"/>
    </row>
    <row r="22" spans="1:37">
      <c r="A22" s="29"/>
      <c r="B22" s="35"/>
      <c r="C22" s="12"/>
      <c r="D22" s="12"/>
      <c r="E22" s="71"/>
      <c r="F22" s="138"/>
      <c r="G22" s="316"/>
      <c r="H22" s="254"/>
      <c r="I22" s="219"/>
      <c r="J22" s="219"/>
      <c r="K22" s="219"/>
      <c r="L22" s="219"/>
      <c r="M22" s="219"/>
      <c r="N22" s="219"/>
      <c r="O22" s="219"/>
      <c r="P22" s="219"/>
      <c r="Q22" s="219"/>
      <c r="R22" s="219"/>
      <c r="S22" s="219"/>
      <c r="T22" s="219"/>
      <c r="U22" s="101"/>
      <c r="V22" s="101"/>
      <c r="W22" s="101"/>
      <c r="X22" s="101"/>
      <c r="Y22" s="101"/>
      <c r="Z22" s="101"/>
      <c r="AA22" s="101"/>
      <c r="AB22" s="101"/>
      <c r="AC22" s="101"/>
      <c r="AD22" s="101"/>
      <c r="AE22" s="101"/>
      <c r="AF22" s="101"/>
      <c r="AG22" s="101"/>
      <c r="AH22" s="101"/>
      <c r="AI22" s="101"/>
      <c r="AJ22" s="101"/>
      <c r="AK22" s="101"/>
    </row>
    <row r="23" spans="1:37">
      <c r="A23" s="30"/>
      <c r="B23" s="25" t="s">
        <v>43</v>
      </c>
      <c r="C23" s="11"/>
      <c r="D23" s="11"/>
      <c r="E23" s="61"/>
      <c r="F23" s="139"/>
      <c r="G23" s="317"/>
      <c r="H23" s="255"/>
      <c r="I23" s="219"/>
      <c r="J23" s="219"/>
      <c r="K23" s="219"/>
      <c r="L23" s="219"/>
      <c r="M23" s="219"/>
      <c r="N23" s="219"/>
      <c r="O23" s="219"/>
      <c r="P23" s="219"/>
      <c r="Q23" s="219"/>
      <c r="R23" s="219"/>
      <c r="S23" s="219"/>
      <c r="T23" s="219"/>
      <c r="U23" s="101"/>
      <c r="V23" s="101"/>
      <c r="W23" s="101"/>
      <c r="X23" s="101"/>
      <c r="Y23" s="101"/>
      <c r="Z23" s="101"/>
      <c r="AA23" s="101"/>
      <c r="AB23" s="101"/>
      <c r="AC23" s="101"/>
      <c r="AD23" s="101"/>
      <c r="AE23" s="101"/>
      <c r="AF23" s="101"/>
      <c r="AG23" s="101"/>
      <c r="AH23" s="101"/>
      <c r="AI23" s="101"/>
      <c r="AJ23" s="101"/>
      <c r="AK23" s="101"/>
    </row>
    <row r="24" spans="1:37">
      <c r="A24" s="31"/>
      <c r="B24" s="36"/>
      <c r="C24" s="9" t="s">
        <v>44</v>
      </c>
      <c r="D24" s="9"/>
      <c r="E24" s="61"/>
      <c r="F24" s="139"/>
      <c r="G24" s="317"/>
      <c r="H24" s="255"/>
      <c r="I24" s="219"/>
      <c r="J24" s="219"/>
      <c r="K24" s="219"/>
      <c r="L24" s="219"/>
      <c r="M24" s="219"/>
      <c r="N24" s="219"/>
      <c r="O24" s="219"/>
      <c r="P24" s="219"/>
      <c r="Q24" s="219"/>
      <c r="R24" s="219"/>
      <c r="S24" s="219"/>
      <c r="T24" s="219"/>
      <c r="U24" s="101"/>
      <c r="V24" s="101"/>
      <c r="W24" s="101"/>
      <c r="X24" s="101"/>
      <c r="Y24" s="101"/>
      <c r="Z24" s="101"/>
      <c r="AA24" s="101"/>
      <c r="AB24" s="101"/>
      <c r="AC24" s="101"/>
      <c r="AD24" s="101"/>
      <c r="AE24" s="101"/>
      <c r="AF24" s="101"/>
      <c r="AG24" s="101"/>
      <c r="AH24" s="101"/>
      <c r="AI24" s="101"/>
      <c r="AJ24" s="101"/>
      <c r="AK24" s="101"/>
    </row>
    <row r="25" spans="1:37">
      <c r="A25" s="31">
        <v>11</v>
      </c>
      <c r="B25" s="36"/>
      <c r="C25" s="9"/>
      <c r="D25" s="9" t="s">
        <v>294</v>
      </c>
      <c r="E25" s="18"/>
      <c r="F25" s="140" t="s">
        <v>20</v>
      </c>
      <c r="G25" s="312">
        <f>Assumptions!B17*SUM(Assumptions!D44:D45)</f>
        <v>772209.96168582374</v>
      </c>
      <c r="H25" s="256"/>
      <c r="I25" s="219"/>
      <c r="J25" s="219"/>
      <c r="K25" s="219"/>
      <c r="L25" s="219"/>
      <c r="M25" s="219"/>
      <c r="N25" s="219"/>
      <c r="O25" s="219"/>
      <c r="P25" s="219"/>
      <c r="Q25" s="219"/>
      <c r="R25" s="219"/>
      <c r="S25" s="219"/>
      <c r="T25" s="219"/>
      <c r="U25" s="101"/>
      <c r="V25" s="101"/>
      <c r="W25" s="101"/>
      <c r="X25" s="101"/>
      <c r="Y25" s="101"/>
      <c r="Z25" s="101"/>
      <c r="AA25" s="101"/>
      <c r="AB25" s="101"/>
      <c r="AC25" s="101"/>
      <c r="AD25" s="101"/>
      <c r="AE25" s="101"/>
      <c r="AF25" s="101"/>
      <c r="AG25" s="101"/>
      <c r="AH25" s="101"/>
      <c r="AI25" s="101"/>
      <c r="AJ25" s="101"/>
      <c r="AK25" s="101"/>
    </row>
    <row r="26" spans="1:37">
      <c r="A26" s="192">
        <v>12</v>
      </c>
      <c r="B26" s="36"/>
      <c r="C26" s="9"/>
      <c r="D26" s="9" t="s">
        <v>45</v>
      </c>
      <c r="E26" s="18"/>
      <c r="F26" s="140" t="s">
        <v>46</v>
      </c>
      <c r="G26" s="312">
        <f>(Assumptions!B21*Assumptions!D49)+(Assumptions!B22*Assumptions!D50)+(Assumptions!B23*Assumptions!D51)+(Assumptions!B24*Assumptions!D52)+(Assumptions!B25*Assumptions!D53)+(Assumptions!B29*Assumptions!D54)+(Assumptions!B30*Assumptions!D55)+(Assumptions!B31*Assumptions!D56)+SUM(Assumptions!B13:B16)*Assumptions!D57</f>
        <v>503874.45</v>
      </c>
      <c r="H26" s="256" t="s">
        <v>400</v>
      </c>
      <c r="I26" s="219"/>
      <c r="J26" s="219"/>
      <c r="K26" s="219"/>
      <c r="L26" s="219"/>
      <c r="M26" s="219"/>
      <c r="N26" s="219"/>
      <c r="O26" s="219"/>
      <c r="P26" s="219"/>
      <c r="Q26" s="219"/>
      <c r="R26" s="219"/>
      <c r="S26" s="219"/>
      <c r="T26" s="219"/>
      <c r="U26" s="101"/>
      <c r="V26" s="101"/>
      <c r="W26" s="101"/>
      <c r="X26" s="101"/>
      <c r="Y26" s="101"/>
      <c r="Z26" s="101"/>
      <c r="AA26" s="101"/>
      <c r="AB26" s="101"/>
      <c r="AC26" s="101"/>
      <c r="AD26" s="101"/>
      <c r="AE26" s="101"/>
      <c r="AF26" s="101"/>
      <c r="AG26" s="101"/>
      <c r="AH26" s="101"/>
      <c r="AI26" s="101"/>
      <c r="AJ26" s="101"/>
      <c r="AK26" s="101"/>
    </row>
    <row r="27" spans="1:37">
      <c r="A27" s="192"/>
      <c r="B27" s="36"/>
      <c r="C27" s="9" t="s">
        <v>47</v>
      </c>
      <c r="D27" s="9"/>
      <c r="E27" s="61"/>
      <c r="F27" s="139"/>
      <c r="G27" s="317"/>
      <c r="H27" s="255"/>
      <c r="I27" s="219"/>
      <c r="J27" s="219"/>
      <c r="K27" s="219"/>
      <c r="L27" s="219"/>
      <c r="M27" s="219"/>
      <c r="N27" s="219"/>
      <c r="O27" s="219"/>
      <c r="P27" s="219"/>
      <c r="Q27" s="219"/>
      <c r="R27" s="219"/>
      <c r="S27" s="219"/>
      <c r="T27" s="219"/>
      <c r="U27" s="101"/>
      <c r="V27" s="101"/>
      <c r="W27" s="101"/>
      <c r="X27" s="101"/>
      <c r="Y27" s="101"/>
      <c r="Z27" s="101"/>
      <c r="AA27" s="101"/>
      <c r="AB27" s="101"/>
      <c r="AC27" s="101"/>
      <c r="AD27" s="101"/>
      <c r="AE27" s="101"/>
      <c r="AF27" s="101"/>
      <c r="AG27" s="101"/>
      <c r="AH27" s="101"/>
      <c r="AI27" s="101"/>
      <c r="AJ27" s="101"/>
      <c r="AK27" s="101"/>
    </row>
    <row r="28" spans="1:37">
      <c r="A28" s="192">
        <v>13</v>
      </c>
      <c r="B28" s="36"/>
      <c r="C28" s="9"/>
      <c r="D28" s="9" t="s">
        <v>48</v>
      </c>
      <c r="E28" s="18"/>
      <c r="F28" s="140" t="s">
        <v>49</v>
      </c>
      <c r="G28" s="312">
        <f>Assumptions!B17*Assumptions!$D$79</f>
        <v>4500</v>
      </c>
      <c r="H28" s="256"/>
      <c r="I28" s="219"/>
      <c r="J28" s="219"/>
      <c r="K28" s="219"/>
      <c r="L28" s="219"/>
      <c r="M28" s="219"/>
      <c r="N28" s="219"/>
      <c r="O28" s="219"/>
      <c r="P28" s="219"/>
      <c r="Q28" s="219"/>
      <c r="R28" s="219"/>
      <c r="S28" s="219"/>
      <c r="T28" s="219"/>
      <c r="U28" s="101"/>
      <c r="V28" s="101"/>
      <c r="W28" s="101"/>
      <c r="X28" s="101"/>
      <c r="Y28" s="101"/>
      <c r="Z28" s="101"/>
      <c r="AA28" s="101"/>
      <c r="AB28" s="101"/>
      <c r="AC28" s="101"/>
      <c r="AD28" s="101"/>
      <c r="AE28" s="101"/>
      <c r="AF28" s="101"/>
      <c r="AG28" s="101"/>
      <c r="AH28" s="101"/>
      <c r="AI28" s="101"/>
      <c r="AJ28" s="101"/>
      <c r="AK28" s="101"/>
    </row>
    <row r="29" spans="1:37">
      <c r="A29" s="192">
        <v>14</v>
      </c>
      <c r="B29" s="36"/>
      <c r="C29" s="9"/>
      <c r="D29" s="9" t="s">
        <v>50</v>
      </c>
      <c r="E29" s="18"/>
      <c r="F29" s="140" t="s">
        <v>51</v>
      </c>
      <c r="G29" s="312">
        <v>0</v>
      </c>
      <c r="H29" s="256"/>
      <c r="I29" s="219"/>
      <c r="J29" s="219"/>
      <c r="K29" s="219"/>
      <c r="L29" s="219"/>
      <c r="M29" s="219"/>
      <c r="N29" s="219"/>
      <c r="O29" s="219"/>
      <c r="P29" s="219"/>
      <c r="Q29" s="219"/>
      <c r="R29" s="219"/>
      <c r="S29" s="219"/>
      <c r="T29" s="219"/>
      <c r="U29" s="101"/>
      <c r="V29" s="101"/>
      <c r="W29" s="101"/>
      <c r="X29" s="101"/>
      <c r="Y29" s="101"/>
      <c r="Z29" s="101"/>
      <c r="AA29" s="101"/>
      <c r="AB29" s="101"/>
      <c r="AC29" s="101"/>
      <c r="AD29" s="101"/>
      <c r="AE29" s="101"/>
      <c r="AF29" s="101"/>
      <c r="AG29" s="101"/>
      <c r="AH29" s="101"/>
      <c r="AI29" s="101"/>
      <c r="AJ29" s="101"/>
      <c r="AK29" s="101"/>
    </row>
    <row r="30" spans="1:37">
      <c r="A30" s="194">
        <v>15</v>
      </c>
      <c r="B30" s="42"/>
      <c r="C30" s="43"/>
      <c r="D30" s="43" t="s">
        <v>513</v>
      </c>
      <c r="E30" s="22"/>
      <c r="F30" s="143" t="s">
        <v>53</v>
      </c>
      <c r="G30" s="318">
        <f>Assumptions!B17*Assumptions!$D$80</f>
        <v>3900</v>
      </c>
      <c r="H30" s="257" t="s">
        <v>514</v>
      </c>
      <c r="I30" s="219"/>
      <c r="J30" s="219"/>
      <c r="K30" s="219"/>
      <c r="L30" s="219"/>
      <c r="M30" s="219"/>
      <c r="N30" s="219"/>
      <c r="O30" s="219"/>
      <c r="P30" s="219"/>
      <c r="Q30" s="219"/>
      <c r="R30" s="219"/>
      <c r="S30" s="219"/>
      <c r="T30" s="219"/>
      <c r="U30" s="101"/>
      <c r="V30" s="101"/>
      <c r="W30" s="101"/>
      <c r="X30" s="101"/>
      <c r="Y30" s="101"/>
      <c r="Z30" s="101"/>
      <c r="AA30" s="101"/>
      <c r="AB30" s="101"/>
      <c r="AC30" s="101"/>
      <c r="AD30" s="101"/>
      <c r="AE30" s="101"/>
      <c r="AF30" s="101"/>
      <c r="AG30" s="101"/>
      <c r="AH30" s="101"/>
      <c r="AI30" s="101"/>
      <c r="AJ30" s="101"/>
      <c r="AK30" s="101"/>
    </row>
    <row r="31" spans="1:37" s="94" customFormat="1" ht="13">
      <c r="A31" s="196">
        <v>16</v>
      </c>
      <c r="B31" s="91"/>
      <c r="C31" s="82" t="s">
        <v>17</v>
      </c>
      <c r="D31" s="82"/>
      <c r="E31" s="92"/>
      <c r="F31" s="142"/>
      <c r="G31" s="319"/>
      <c r="H31" s="251"/>
      <c r="I31" s="224"/>
      <c r="J31" s="224"/>
      <c r="K31" s="224"/>
      <c r="L31" s="224"/>
      <c r="M31" s="224"/>
      <c r="N31" s="224"/>
      <c r="O31" s="224"/>
      <c r="P31" s="224"/>
      <c r="Q31" s="224"/>
      <c r="R31" s="224"/>
      <c r="S31" s="224"/>
      <c r="T31" s="219"/>
      <c r="U31" s="223"/>
      <c r="V31" s="223"/>
      <c r="W31" s="223"/>
      <c r="X31" s="223"/>
      <c r="Y31" s="223"/>
      <c r="Z31" s="223"/>
      <c r="AA31" s="223"/>
      <c r="AB31" s="223"/>
      <c r="AC31" s="223"/>
      <c r="AD31" s="223"/>
      <c r="AE31" s="223"/>
      <c r="AF31" s="223"/>
      <c r="AG31" s="223"/>
      <c r="AH31" s="223"/>
      <c r="AI31" s="223"/>
      <c r="AJ31" s="223"/>
      <c r="AK31" s="223"/>
    </row>
    <row r="32" spans="1:37">
      <c r="A32" s="194">
        <v>17</v>
      </c>
      <c r="B32" s="42"/>
      <c r="C32" s="43"/>
      <c r="D32" s="43"/>
      <c r="E32" s="22"/>
      <c r="F32" s="143"/>
      <c r="G32" s="318"/>
      <c r="H32" s="257"/>
      <c r="I32" s="219"/>
      <c r="J32" s="219"/>
      <c r="K32" s="219"/>
      <c r="L32" s="219"/>
      <c r="M32" s="219"/>
      <c r="N32" s="219"/>
      <c r="O32" s="219"/>
      <c r="P32" s="219"/>
      <c r="Q32" s="219"/>
      <c r="R32" s="219"/>
      <c r="S32" s="219"/>
      <c r="T32" s="219"/>
      <c r="U32" s="101"/>
      <c r="V32" s="101"/>
      <c r="W32" s="101"/>
      <c r="X32" s="101"/>
      <c r="Y32" s="101"/>
      <c r="Z32" s="101"/>
      <c r="AA32" s="101"/>
      <c r="AB32" s="101"/>
      <c r="AC32" s="101"/>
      <c r="AD32" s="101"/>
      <c r="AE32" s="101"/>
      <c r="AF32" s="101"/>
      <c r="AG32" s="101"/>
      <c r="AH32" s="101"/>
      <c r="AI32" s="101"/>
      <c r="AJ32" s="101"/>
      <c r="AK32" s="101"/>
    </row>
    <row r="33" spans="1:37" ht="15" thickBot="1">
      <c r="A33" s="229">
        <v>18</v>
      </c>
      <c r="B33" s="230" t="s">
        <v>270</v>
      </c>
      <c r="C33" s="231"/>
      <c r="D33" s="231"/>
      <c r="E33" s="232"/>
      <c r="F33" s="233"/>
      <c r="G33" s="321">
        <f>SUM(G24:G32)</f>
        <v>1284484.4116858237</v>
      </c>
      <c r="H33" s="259"/>
      <c r="I33" s="219"/>
      <c r="J33" s="219"/>
      <c r="K33" s="219"/>
      <c r="L33" s="219"/>
      <c r="M33" s="219"/>
      <c r="N33" s="219"/>
      <c r="O33" s="219"/>
      <c r="P33" s="219"/>
      <c r="Q33" s="219"/>
      <c r="R33" s="219"/>
      <c r="S33" s="219"/>
      <c r="T33" s="219"/>
      <c r="U33" s="101"/>
      <c r="V33" s="101"/>
      <c r="W33" s="101"/>
      <c r="X33" s="101"/>
      <c r="Y33" s="101"/>
      <c r="Z33" s="101"/>
      <c r="AA33" s="101"/>
      <c r="AB33" s="101"/>
      <c r="AC33" s="101"/>
      <c r="AD33" s="101"/>
      <c r="AE33" s="101"/>
      <c r="AF33" s="101"/>
      <c r="AG33" s="101"/>
      <c r="AH33" s="101"/>
      <c r="AI33" s="101"/>
      <c r="AJ33" s="101"/>
      <c r="AK33" s="101"/>
    </row>
    <row r="34" spans="1:37" s="101" customFormat="1" ht="15" thickTop="1">
      <c r="A34" s="100"/>
      <c r="E34" s="102"/>
      <c r="F34" s="102"/>
      <c r="G34" s="322"/>
      <c r="H34" s="260"/>
    </row>
    <row r="35" spans="1:37" s="101" customFormat="1">
      <c r="A35" s="100"/>
      <c r="E35" s="102"/>
      <c r="F35" s="102"/>
      <c r="G35" s="322"/>
      <c r="H35" s="260"/>
    </row>
    <row r="36" spans="1:37" s="101" customFormat="1">
      <c r="A36" s="100"/>
      <c r="E36" s="102"/>
      <c r="F36" s="102"/>
      <c r="G36" s="322"/>
      <c r="H36" s="260"/>
    </row>
    <row r="37" spans="1:37" s="101" customFormat="1">
      <c r="A37" s="100"/>
      <c r="E37" s="102"/>
      <c r="F37" s="102"/>
      <c r="G37" s="322"/>
      <c r="H37" s="260"/>
    </row>
    <row r="38" spans="1:37" s="101" customFormat="1" ht="42" customHeight="1">
      <c r="A38" s="493" t="s">
        <v>10</v>
      </c>
      <c r="B38" s="493"/>
      <c r="C38" s="493"/>
      <c r="D38" s="493"/>
      <c r="E38" s="493"/>
      <c r="F38" s="493"/>
      <c r="G38" s="493"/>
      <c r="H38" s="493"/>
      <c r="I38" s="218"/>
      <c r="J38" s="218"/>
      <c r="K38" s="218"/>
      <c r="L38" s="218"/>
    </row>
    <row r="39" spans="1:37" s="101" customFormat="1">
      <c r="A39" s="100"/>
      <c r="E39" s="102"/>
      <c r="F39" s="102"/>
      <c r="G39" s="322"/>
      <c r="H39" s="260"/>
    </row>
    <row r="40" spans="1:37" s="101" customFormat="1" ht="15" thickBot="1">
      <c r="A40" s="100"/>
      <c r="E40" s="102"/>
      <c r="F40" s="102"/>
      <c r="G40" s="322"/>
      <c r="H40" s="260"/>
    </row>
    <row r="41" spans="1:37" ht="15" thickTop="1">
      <c r="A41" s="234"/>
      <c r="B41" s="235" t="s">
        <v>54</v>
      </c>
      <c r="C41" s="236"/>
      <c r="D41" s="236"/>
      <c r="E41" s="237"/>
      <c r="F41" s="238"/>
      <c r="G41" s="323"/>
      <c r="H41" s="276"/>
      <c r="I41" s="219"/>
      <c r="J41" s="219"/>
      <c r="K41" s="219"/>
      <c r="L41" s="219"/>
      <c r="M41" s="219"/>
      <c r="N41" s="219"/>
      <c r="O41" s="219"/>
      <c r="P41" s="219"/>
      <c r="Q41" s="219"/>
      <c r="R41" s="219"/>
      <c r="S41" s="219"/>
      <c r="T41" s="219"/>
      <c r="U41" s="101"/>
      <c r="V41" s="101"/>
      <c r="W41" s="101"/>
      <c r="X41" s="101"/>
      <c r="Y41" s="101"/>
    </row>
    <row r="42" spans="1:37">
      <c r="A42" s="192"/>
      <c r="B42" s="36"/>
      <c r="C42" s="9" t="s">
        <v>256</v>
      </c>
      <c r="D42" s="9"/>
      <c r="E42" s="61"/>
      <c r="F42" s="139"/>
      <c r="G42" s="317"/>
      <c r="H42" s="246"/>
      <c r="I42" s="219"/>
      <c r="J42" s="219"/>
      <c r="K42" s="219"/>
      <c r="L42" s="219"/>
      <c r="M42" s="219"/>
      <c r="N42" s="219"/>
      <c r="O42" s="219"/>
      <c r="P42" s="219"/>
      <c r="Q42" s="219"/>
      <c r="R42" s="219"/>
      <c r="S42" s="219"/>
      <c r="T42" s="219"/>
      <c r="U42" s="101"/>
      <c r="V42" s="101"/>
      <c r="W42" s="101"/>
      <c r="X42" s="101"/>
      <c r="Y42" s="101"/>
    </row>
    <row r="43" spans="1:37">
      <c r="A43" s="192">
        <v>19</v>
      </c>
      <c r="B43" s="36"/>
      <c r="C43" s="9"/>
      <c r="D43" s="9" t="s">
        <v>55</v>
      </c>
      <c r="E43" s="18"/>
      <c r="F43" s="140" t="s">
        <v>56</v>
      </c>
      <c r="G43" s="312">
        <v>0</v>
      </c>
      <c r="H43" s="247"/>
      <c r="I43" s="219"/>
      <c r="J43" s="219"/>
      <c r="K43" s="219"/>
      <c r="L43" s="219"/>
      <c r="M43" s="219"/>
      <c r="N43" s="219"/>
      <c r="O43" s="219"/>
      <c r="P43" s="219"/>
      <c r="Q43" s="219"/>
      <c r="R43" s="219"/>
      <c r="S43" s="219"/>
      <c r="T43" s="219"/>
      <c r="U43" s="101"/>
      <c r="V43" s="101"/>
      <c r="W43" s="101"/>
      <c r="X43" s="101"/>
      <c r="Y43" s="101"/>
    </row>
    <row r="44" spans="1:37">
      <c r="A44" s="192"/>
      <c r="B44" s="36"/>
      <c r="C44" s="9" t="s">
        <v>257</v>
      </c>
      <c r="D44" s="9"/>
      <c r="E44" s="61"/>
      <c r="F44" s="139"/>
      <c r="G44" s="317"/>
      <c r="H44" s="246"/>
      <c r="I44" s="219"/>
      <c r="J44" s="219"/>
      <c r="K44" s="219"/>
      <c r="L44" s="219"/>
      <c r="M44" s="219"/>
      <c r="N44" s="219"/>
      <c r="O44" s="219"/>
      <c r="P44" s="219"/>
      <c r="Q44" s="219"/>
      <c r="R44" s="219"/>
      <c r="S44" s="219"/>
      <c r="T44" s="219"/>
      <c r="U44" s="101"/>
      <c r="V44" s="101"/>
      <c r="W44" s="101"/>
      <c r="X44" s="101"/>
      <c r="Y44" s="101"/>
    </row>
    <row r="45" spans="1:37">
      <c r="A45" s="192">
        <v>20</v>
      </c>
      <c r="B45" s="36"/>
      <c r="C45" s="9"/>
      <c r="D45" s="9" t="s">
        <v>57</v>
      </c>
      <c r="E45" s="18"/>
      <c r="F45" s="140" t="s">
        <v>58</v>
      </c>
      <c r="G45" s="312">
        <v>0</v>
      </c>
      <c r="H45" s="247"/>
      <c r="I45" s="219"/>
      <c r="J45" s="219"/>
      <c r="K45" s="219"/>
      <c r="L45" s="219"/>
      <c r="M45" s="219"/>
      <c r="N45" s="219"/>
      <c r="O45" s="219"/>
      <c r="P45" s="219"/>
      <c r="Q45" s="219"/>
      <c r="R45" s="219"/>
      <c r="S45" s="219"/>
      <c r="T45" s="219"/>
      <c r="U45" s="101"/>
      <c r="V45" s="101"/>
      <c r="W45" s="101"/>
      <c r="X45" s="101"/>
      <c r="Y45" s="101"/>
    </row>
    <row r="46" spans="1:37">
      <c r="A46" s="192"/>
      <c r="B46" s="36"/>
      <c r="C46" s="9" t="s">
        <v>21</v>
      </c>
      <c r="D46" s="9"/>
      <c r="E46" s="61"/>
      <c r="F46" s="139"/>
      <c r="G46" s="317"/>
      <c r="H46" s="246"/>
      <c r="I46" s="219"/>
      <c r="J46" s="219"/>
      <c r="K46" s="219"/>
      <c r="L46" s="219"/>
      <c r="M46" s="219"/>
      <c r="N46" s="219"/>
      <c r="O46" s="219"/>
      <c r="P46" s="219"/>
      <c r="Q46" s="219"/>
      <c r="R46" s="219"/>
      <c r="S46" s="219"/>
      <c r="T46" s="219"/>
      <c r="U46" s="101"/>
      <c r="V46" s="101"/>
      <c r="W46" s="101"/>
      <c r="X46" s="101"/>
      <c r="Y46" s="101"/>
    </row>
    <row r="47" spans="1:37">
      <c r="A47" s="192">
        <v>21</v>
      </c>
      <c r="B47" s="36"/>
      <c r="C47" s="9"/>
      <c r="D47" s="9" t="s">
        <v>59</v>
      </c>
      <c r="E47" s="18"/>
      <c r="F47" s="140" t="s">
        <v>60</v>
      </c>
      <c r="G47" s="312">
        <f>Assumptions!B18*Assumptions!D64</f>
        <v>285000</v>
      </c>
      <c r="H47" s="247" t="s">
        <v>544</v>
      </c>
      <c r="I47" s="219"/>
      <c r="J47" s="219"/>
      <c r="K47" s="219"/>
      <c r="L47" s="219"/>
      <c r="M47" s="219"/>
      <c r="N47" s="219"/>
      <c r="O47" s="219"/>
      <c r="P47" s="219"/>
      <c r="Q47" s="219"/>
      <c r="R47" s="219"/>
      <c r="S47" s="219"/>
      <c r="T47" s="219"/>
      <c r="U47" s="101"/>
      <c r="V47" s="101"/>
      <c r="W47" s="101"/>
      <c r="X47" s="101"/>
      <c r="Y47" s="101"/>
    </row>
    <row r="48" spans="1:37">
      <c r="A48" s="192"/>
      <c r="B48" s="36"/>
      <c r="C48" s="9"/>
      <c r="D48" s="9" t="s">
        <v>61</v>
      </c>
      <c r="E48" s="61"/>
      <c r="F48" s="139"/>
      <c r="G48" s="317"/>
      <c r="H48" s="246"/>
      <c r="I48" s="219"/>
      <c r="J48" s="219"/>
      <c r="K48" s="219"/>
      <c r="L48" s="219"/>
      <c r="M48" s="219"/>
      <c r="N48" s="219"/>
      <c r="O48" s="219"/>
      <c r="P48" s="219"/>
      <c r="Q48" s="219"/>
      <c r="R48" s="219"/>
      <c r="S48" s="219"/>
      <c r="T48" s="219"/>
      <c r="U48" s="101"/>
      <c r="V48" s="101"/>
      <c r="W48" s="101"/>
      <c r="X48" s="101"/>
      <c r="Y48" s="101"/>
    </row>
    <row r="49" spans="1:25">
      <c r="A49" s="192">
        <v>22</v>
      </c>
      <c r="B49" s="36"/>
      <c r="C49" s="9"/>
      <c r="D49" s="9" t="s">
        <v>258</v>
      </c>
      <c r="E49" s="18"/>
      <c r="F49" s="140" t="s">
        <v>62</v>
      </c>
      <c r="G49" s="312">
        <f>Assumptions!B17*Assumptions!D61</f>
        <v>60067.045454545456</v>
      </c>
      <c r="H49" s="247" t="s">
        <v>487</v>
      </c>
      <c r="I49" s="219"/>
      <c r="J49" s="219"/>
      <c r="K49" s="219"/>
      <c r="L49" s="219"/>
      <c r="M49" s="219"/>
      <c r="N49" s="219"/>
      <c r="O49" s="219"/>
      <c r="P49" s="219"/>
      <c r="Q49" s="219"/>
      <c r="R49" s="219"/>
      <c r="S49" s="219"/>
      <c r="T49" s="219"/>
      <c r="U49" s="101"/>
      <c r="V49" s="101"/>
      <c r="W49" s="101"/>
      <c r="X49" s="101"/>
      <c r="Y49" s="101"/>
    </row>
    <row r="50" spans="1:25">
      <c r="A50" s="192">
        <v>23</v>
      </c>
      <c r="B50" s="36"/>
      <c r="C50" s="9"/>
      <c r="D50" s="9" t="s">
        <v>259</v>
      </c>
      <c r="E50" s="18"/>
      <c r="F50" s="140" t="s">
        <v>63</v>
      </c>
      <c r="G50" s="312">
        <v>0</v>
      </c>
      <c r="H50" s="247"/>
      <c r="I50" s="219"/>
      <c r="J50" s="219"/>
      <c r="K50" s="219"/>
      <c r="L50" s="219"/>
      <c r="M50" s="219"/>
      <c r="N50" s="219"/>
      <c r="O50" s="219"/>
      <c r="P50" s="219"/>
      <c r="Q50" s="219"/>
      <c r="R50" s="219"/>
      <c r="S50" s="219"/>
      <c r="T50" s="219"/>
      <c r="U50" s="101"/>
      <c r="V50" s="101"/>
      <c r="W50" s="101"/>
      <c r="X50" s="101"/>
      <c r="Y50" s="101"/>
    </row>
    <row r="51" spans="1:25">
      <c r="A51" s="192">
        <v>24</v>
      </c>
      <c r="B51" s="36"/>
      <c r="C51" s="9"/>
      <c r="D51" s="9" t="s">
        <v>260</v>
      </c>
      <c r="E51" s="18"/>
      <c r="F51" s="140" t="s">
        <v>64</v>
      </c>
      <c r="G51" s="312">
        <v>4500</v>
      </c>
      <c r="H51" s="247"/>
      <c r="I51" s="219"/>
      <c r="J51" s="219"/>
      <c r="K51" s="219"/>
      <c r="L51" s="219"/>
      <c r="M51" s="219"/>
      <c r="N51" s="219"/>
      <c r="O51" s="219"/>
      <c r="P51" s="219"/>
      <c r="Q51" s="219"/>
      <c r="R51" s="219"/>
      <c r="S51" s="219"/>
      <c r="T51" s="219"/>
      <c r="U51" s="101"/>
      <c r="V51" s="101"/>
      <c r="W51" s="101"/>
      <c r="X51" s="101"/>
      <c r="Y51" s="101"/>
    </row>
    <row r="52" spans="1:25">
      <c r="A52" s="192"/>
      <c r="B52" s="36"/>
      <c r="C52" s="9"/>
      <c r="D52" s="9" t="s">
        <v>278</v>
      </c>
      <c r="E52" s="61"/>
      <c r="F52" s="139"/>
      <c r="G52" s="317"/>
      <c r="H52" s="246"/>
      <c r="I52" s="219"/>
      <c r="J52" s="219"/>
      <c r="K52" s="219"/>
      <c r="L52" s="219"/>
      <c r="M52" s="219"/>
      <c r="N52" s="219"/>
      <c r="O52" s="219"/>
      <c r="P52" s="219"/>
      <c r="Q52" s="219"/>
      <c r="R52" s="219"/>
      <c r="S52" s="219"/>
      <c r="T52" s="219"/>
      <c r="U52" s="101"/>
      <c r="V52" s="101"/>
      <c r="W52" s="101"/>
      <c r="X52" s="101"/>
      <c r="Y52" s="101"/>
    </row>
    <row r="53" spans="1:25">
      <c r="A53" s="192">
        <v>25</v>
      </c>
      <c r="B53" s="36"/>
      <c r="C53" s="9"/>
      <c r="D53" s="9" t="s">
        <v>261</v>
      </c>
      <c r="E53" s="18"/>
      <c r="F53" s="140" t="s">
        <v>65</v>
      </c>
      <c r="G53" s="312">
        <f>Assumptions!B17*Assumptions!D59</f>
        <v>213223.48484848486</v>
      </c>
      <c r="H53" s="247" t="s">
        <v>488</v>
      </c>
      <c r="I53" s="219"/>
      <c r="J53" s="219"/>
      <c r="K53" s="219"/>
      <c r="L53" s="219"/>
      <c r="M53" s="219"/>
      <c r="N53" s="219"/>
      <c r="O53" s="219"/>
      <c r="P53" s="219"/>
      <c r="Q53" s="219"/>
      <c r="R53" s="219"/>
      <c r="S53" s="219"/>
      <c r="T53" s="219"/>
      <c r="U53" s="101"/>
      <c r="V53" s="101"/>
      <c r="W53" s="101"/>
      <c r="X53" s="101"/>
      <c r="Y53" s="101"/>
    </row>
    <row r="54" spans="1:25">
      <c r="A54" s="192">
        <v>26</v>
      </c>
      <c r="B54" s="36"/>
      <c r="C54" s="9"/>
      <c r="D54" s="9" t="s">
        <v>262</v>
      </c>
      <c r="E54" s="18"/>
      <c r="F54" s="140" t="s">
        <v>66</v>
      </c>
      <c r="G54" s="312">
        <v>0</v>
      </c>
      <c r="H54" s="247"/>
      <c r="I54" s="219"/>
      <c r="J54" s="219"/>
      <c r="K54" s="219"/>
      <c r="L54" s="219"/>
      <c r="M54" s="219"/>
      <c r="N54" s="219"/>
      <c r="O54" s="219"/>
      <c r="P54" s="219"/>
      <c r="Q54" s="219"/>
      <c r="R54" s="219"/>
      <c r="S54" s="219"/>
      <c r="T54" s="219"/>
      <c r="U54" s="101"/>
      <c r="V54" s="101"/>
      <c r="W54" s="101"/>
      <c r="X54" s="101"/>
      <c r="Y54" s="101"/>
    </row>
    <row r="55" spans="1:25">
      <c r="A55" s="192">
        <v>27</v>
      </c>
      <c r="B55" s="36"/>
      <c r="C55" s="9"/>
      <c r="D55" s="9" t="s">
        <v>279</v>
      </c>
      <c r="E55" s="18"/>
      <c r="F55" s="140" t="s">
        <v>67</v>
      </c>
      <c r="G55" s="312">
        <v>0</v>
      </c>
      <c r="H55" s="247"/>
      <c r="I55" s="219"/>
      <c r="J55" s="219"/>
      <c r="K55" s="219"/>
      <c r="L55" s="219"/>
      <c r="M55" s="219"/>
      <c r="N55" s="219"/>
      <c r="O55" s="219"/>
      <c r="P55" s="219"/>
      <c r="Q55" s="219"/>
      <c r="R55" s="219"/>
      <c r="S55" s="219"/>
      <c r="T55" s="219"/>
      <c r="U55" s="101"/>
      <c r="V55" s="101"/>
      <c r="W55" s="101"/>
      <c r="X55" s="101"/>
      <c r="Y55" s="101"/>
    </row>
    <row r="56" spans="1:25">
      <c r="A56" s="192">
        <v>28</v>
      </c>
      <c r="B56" s="36"/>
      <c r="C56" s="9"/>
      <c r="D56" s="9" t="s">
        <v>263</v>
      </c>
      <c r="E56" s="18"/>
      <c r="F56" s="140" t="s">
        <v>68</v>
      </c>
      <c r="G56" s="312">
        <v>2660</v>
      </c>
      <c r="H56" s="247"/>
      <c r="I56" s="219"/>
      <c r="J56" s="219"/>
      <c r="K56" s="219"/>
      <c r="L56" s="219"/>
      <c r="M56" s="219"/>
      <c r="N56" s="219"/>
      <c r="O56" s="219"/>
      <c r="P56" s="219"/>
      <c r="Q56" s="219"/>
      <c r="R56" s="219"/>
      <c r="S56" s="219"/>
      <c r="T56" s="219"/>
      <c r="U56" s="101"/>
      <c r="V56" s="101"/>
      <c r="W56" s="101"/>
      <c r="X56" s="101"/>
      <c r="Y56" s="101"/>
    </row>
    <row r="57" spans="1:25">
      <c r="A57" s="192">
        <v>29</v>
      </c>
      <c r="B57" s="36"/>
      <c r="C57" s="9"/>
      <c r="D57" s="9" t="s">
        <v>280</v>
      </c>
      <c r="E57" s="18"/>
      <c r="F57" s="140" t="s">
        <v>69</v>
      </c>
      <c r="G57" s="312">
        <f>Assumptions!B17*Assumptions!D60</f>
        <v>10006.439393939394</v>
      </c>
      <c r="H57" s="247" t="s">
        <v>489</v>
      </c>
      <c r="I57" s="219"/>
      <c r="J57" s="219"/>
      <c r="K57" s="219"/>
      <c r="L57" s="219"/>
      <c r="M57" s="219"/>
      <c r="N57" s="219"/>
      <c r="O57" s="219"/>
      <c r="P57" s="219"/>
      <c r="Q57" s="219"/>
      <c r="R57" s="219"/>
      <c r="S57" s="219"/>
      <c r="T57" s="219"/>
      <c r="U57" s="101"/>
      <c r="V57" s="101"/>
      <c r="W57" s="101"/>
      <c r="X57" s="101"/>
      <c r="Y57" s="101"/>
    </row>
    <row r="58" spans="1:25">
      <c r="A58" s="192">
        <v>30</v>
      </c>
      <c r="B58" s="36"/>
      <c r="C58" s="9"/>
      <c r="D58" s="9" t="s">
        <v>264</v>
      </c>
      <c r="E58" s="18"/>
      <c r="F58" s="140" t="s">
        <v>70</v>
      </c>
      <c r="G58" s="312">
        <v>10000</v>
      </c>
      <c r="H58" s="247" t="s">
        <v>438</v>
      </c>
      <c r="I58" s="219"/>
      <c r="J58" s="219"/>
      <c r="K58" s="219"/>
      <c r="L58" s="219"/>
      <c r="M58" s="219"/>
      <c r="N58" s="219"/>
      <c r="O58" s="219"/>
      <c r="P58" s="219"/>
      <c r="Q58" s="219"/>
      <c r="R58" s="219"/>
      <c r="S58" s="219"/>
      <c r="T58" s="219"/>
      <c r="U58" s="101"/>
      <c r="V58" s="101"/>
      <c r="W58" s="101"/>
      <c r="X58" s="101"/>
      <c r="Y58" s="101"/>
    </row>
    <row r="59" spans="1:25">
      <c r="A59" s="192">
        <v>31</v>
      </c>
      <c r="B59" s="36"/>
      <c r="C59" s="9"/>
      <c r="D59" s="9" t="s">
        <v>71</v>
      </c>
      <c r="E59" s="18"/>
      <c r="F59" s="140" t="s">
        <v>72</v>
      </c>
      <c r="G59" s="312">
        <v>75000</v>
      </c>
      <c r="H59" s="247" t="s">
        <v>545</v>
      </c>
      <c r="I59" s="219"/>
      <c r="J59" s="219"/>
      <c r="K59" s="219"/>
      <c r="L59" s="219"/>
      <c r="M59" s="219"/>
      <c r="N59" s="219"/>
      <c r="O59" s="219"/>
      <c r="P59" s="219"/>
      <c r="Q59" s="219"/>
      <c r="R59" s="219"/>
      <c r="S59" s="219"/>
      <c r="T59" s="219"/>
      <c r="U59" s="101"/>
      <c r="V59" s="101"/>
      <c r="W59" s="101"/>
      <c r="X59" s="101"/>
      <c r="Y59" s="101"/>
    </row>
    <row r="60" spans="1:25">
      <c r="A60" s="192"/>
      <c r="B60" s="36"/>
      <c r="C60" s="9" t="s">
        <v>73</v>
      </c>
      <c r="D60" s="9"/>
      <c r="E60" s="73"/>
      <c r="F60" s="141"/>
      <c r="G60" s="324"/>
      <c r="H60" s="277"/>
      <c r="I60" s="219"/>
      <c r="J60" s="219"/>
      <c r="K60" s="219"/>
      <c r="L60" s="219"/>
      <c r="M60" s="219"/>
      <c r="N60" s="219"/>
      <c r="O60" s="219"/>
      <c r="P60" s="219"/>
      <c r="Q60" s="219"/>
      <c r="R60" s="219"/>
      <c r="S60" s="219"/>
      <c r="T60" s="219"/>
      <c r="U60" s="101"/>
      <c r="V60" s="101"/>
      <c r="W60" s="101"/>
      <c r="X60" s="101"/>
      <c r="Y60" s="101"/>
    </row>
    <row r="61" spans="1:25">
      <c r="A61" s="192">
        <v>32</v>
      </c>
      <c r="B61" s="36"/>
      <c r="C61" s="9"/>
      <c r="D61" s="9" t="s">
        <v>74</v>
      </c>
      <c r="E61" s="18"/>
      <c r="F61" s="140" t="s">
        <v>75</v>
      </c>
      <c r="G61" s="312">
        <f>(201411/3150)*Assumptions!B17</f>
        <v>19182</v>
      </c>
      <c r="H61" s="247" t="s">
        <v>443</v>
      </c>
      <c r="I61" s="219"/>
      <c r="J61" s="219"/>
      <c r="K61" s="219"/>
      <c r="L61" s="219"/>
      <c r="M61" s="219"/>
      <c r="N61" s="219"/>
      <c r="O61" s="219"/>
      <c r="P61" s="219"/>
      <c r="Q61" s="219"/>
      <c r="R61" s="219"/>
      <c r="S61" s="219"/>
      <c r="T61" s="219"/>
      <c r="U61" s="101"/>
      <c r="V61" s="101"/>
      <c r="W61" s="101"/>
      <c r="X61" s="101"/>
      <c r="Y61" s="101"/>
    </row>
    <row r="62" spans="1:25" s="94" customFormat="1" ht="14.25" customHeight="1">
      <c r="A62" s="196">
        <v>33</v>
      </c>
      <c r="B62" s="91"/>
      <c r="C62" s="82"/>
      <c r="D62" s="82" t="s">
        <v>547</v>
      </c>
      <c r="E62" s="92"/>
      <c r="F62" s="142">
        <v>4950</v>
      </c>
      <c r="G62" s="319">
        <v>20000</v>
      </c>
      <c r="H62" s="249"/>
      <c r="I62" s="224"/>
      <c r="J62" s="224"/>
      <c r="K62" s="224"/>
      <c r="L62" s="224"/>
      <c r="M62" s="224"/>
      <c r="N62" s="224"/>
      <c r="O62" s="224"/>
      <c r="P62" s="224"/>
      <c r="Q62" s="224"/>
      <c r="R62" s="224"/>
      <c r="S62" s="224"/>
      <c r="T62" s="219"/>
      <c r="U62" s="223"/>
      <c r="V62" s="223"/>
      <c r="W62" s="223"/>
      <c r="X62" s="223"/>
      <c r="Y62" s="223"/>
    </row>
    <row r="63" spans="1:25" s="94" customFormat="1" ht="14.25" customHeight="1">
      <c r="A63" s="196">
        <v>34</v>
      </c>
      <c r="B63" s="91"/>
      <c r="C63" s="82"/>
      <c r="D63" s="82"/>
      <c r="E63" s="92"/>
      <c r="F63" s="142"/>
      <c r="G63" s="319"/>
      <c r="H63" s="249"/>
      <c r="I63" s="224"/>
      <c r="J63" s="224"/>
      <c r="K63" s="224"/>
      <c r="L63" s="224"/>
      <c r="M63" s="224"/>
      <c r="N63" s="224"/>
      <c r="O63" s="224"/>
      <c r="P63" s="224"/>
      <c r="Q63" s="224"/>
      <c r="R63" s="224"/>
      <c r="S63" s="224"/>
      <c r="T63" s="219"/>
      <c r="U63" s="223"/>
      <c r="V63" s="223"/>
      <c r="W63" s="223"/>
      <c r="X63" s="223"/>
      <c r="Y63" s="223"/>
    </row>
    <row r="64" spans="1:25">
      <c r="A64" s="194">
        <v>35</v>
      </c>
      <c r="B64" s="42"/>
      <c r="C64" s="43"/>
      <c r="D64" s="43"/>
      <c r="E64" s="22"/>
      <c r="F64" s="143"/>
      <c r="G64" s="318"/>
      <c r="H64" s="248"/>
      <c r="I64" s="219"/>
      <c r="J64" s="219"/>
      <c r="K64" s="219"/>
      <c r="L64" s="219"/>
      <c r="M64" s="219"/>
      <c r="N64" s="219"/>
      <c r="O64" s="219"/>
      <c r="P64" s="219"/>
      <c r="Q64" s="219"/>
      <c r="R64" s="219"/>
      <c r="S64" s="219"/>
      <c r="T64" s="219"/>
      <c r="U64" s="101"/>
      <c r="V64" s="101"/>
      <c r="W64" s="101"/>
      <c r="X64" s="101"/>
      <c r="Y64" s="101"/>
    </row>
    <row r="65" spans="1:25">
      <c r="A65" s="197">
        <v>36</v>
      </c>
      <c r="B65" s="47" t="s">
        <v>268</v>
      </c>
      <c r="C65" s="6"/>
      <c r="D65" s="6"/>
      <c r="E65" s="49"/>
      <c r="F65" s="144"/>
      <c r="G65" s="320">
        <f>SUM(G42:G64)</f>
        <v>699638.96969696973</v>
      </c>
      <c r="H65" s="250"/>
      <c r="I65" s="219"/>
      <c r="J65" s="219"/>
      <c r="K65" s="219"/>
      <c r="L65" s="219"/>
      <c r="M65" s="219"/>
      <c r="N65" s="219"/>
      <c r="O65" s="219"/>
      <c r="P65" s="219"/>
      <c r="Q65" s="219"/>
      <c r="R65" s="219"/>
      <c r="S65" s="219"/>
      <c r="T65" s="219"/>
      <c r="U65" s="101"/>
      <c r="V65" s="101"/>
      <c r="W65" s="101"/>
      <c r="X65" s="101"/>
      <c r="Y65" s="101"/>
    </row>
    <row r="66" spans="1:25">
      <c r="A66" s="192"/>
      <c r="B66" s="36"/>
      <c r="C66" s="9"/>
      <c r="D66" s="9"/>
      <c r="E66" s="61"/>
      <c r="F66" s="139"/>
      <c r="G66" s="317"/>
      <c r="H66" s="246"/>
      <c r="I66" s="219"/>
      <c r="J66" s="219"/>
      <c r="K66" s="219"/>
      <c r="L66" s="219"/>
      <c r="M66" s="219"/>
      <c r="N66" s="219"/>
      <c r="O66" s="219"/>
      <c r="P66" s="219"/>
      <c r="Q66" s="219"/>
      <c r="R66" s="219"/>
      <c r="S66" s="219"/>
      <c r="T66" s="219"/>
      <c r="U66" s="101"/>
      <c r="V66" s="101"/>
      <c r="W66" s="101"/>
      <c r="X66" s="101"/>
      <c r="Y66" s="101"/>
    </row>
    <row r="67" spans="1:25" s="13" customFormat="1">
      <c r="A67" s="199"/>
      <c r="B67" s="25" t="s">
        <v>284</v>
      </c>
      <c r="C67" s="11"/>
      <c r="D67" s="11"/>
      <c r="E67" s="61"/>
      <c r="F67" s="139"/>
      <c r="G67" s="317"/>
      <c r="H67" s="246"/>
      <c r="I67" s="219"/>
      <c r="J67" s="219"/>
      <c r="K67" s="219"/>
      <c r="L67" s="219"/>
      <c r="M67" s="219"/>
      <c r="N67" s="219"/>
      <c r="O67" s="219"/>
      <c r="P67" s="219"/>
      <c r="Q67" s="219"/>
      <c r="R67" s="219"/>
      <c r="S67" s="219"/>
      <c r="T67" s="219"/>
      <c r="U67" s="101"/>
      <c r="V67" s="101"/>
      <c r="W67" s="101"/>
      <c r="X67" s="101"/>
      <c r="Y67" s="101"/>
    </row>
    <row r="68" spans="1:25" s="99" customFormat="1">
      <c r="A68" s="200">
        <v>37</v>
      </c>
      <c r="B68" s="95"/>
      <c r="C68" s="96"/>
      <c r="D68" s="96"/>
      <c r="E68" s="97"/>
      <c r="F68" s="145" t="s">
        <v>252</v>
      </c>
      <c r="G68" s="325">
        <v>0</v>
      </c>
      <c r="H68" s="270"/>
      <c r="I68" s="219"/>
      <c r="J68" s="219"/>
      <c r="K68" s="219"/>
      <c r="L68" s="219"/>
      <c r="M68" s="219"/>
      <c r="N68" s="219"/>
      <c r="O68" s="219"/>
      <c r="P68" s="219"/>
      <c r="Q68" s="219"/>
      <c r="R68" s="219"/>
      <c r="S68" s="219"/>
      <c r="T68" s="219"/>
      <c r="U68" s="101"/>
      <c r="V68" s="101"/>
      <c r="W68" s="101"/>
      <c r="X68" s="101"/>
      <c r="Y68" s="101"/>
    </row>
    <row r="69" spans="1:25" ht="15" thickBot="1">
      <c r="A69" s="194">
        <v>38</v>
      </c>
      <c r="B69" s="42"/>
      <c r="C69" s="43"/>
      <c r="D69" s="43"/>
      <c r="E69" s="133"/>
      <c r="F69" s="146"/>
      <c r="G69" s="326"/>
      <c r="H69" s="278"/>
      <c r="I69" s="219"/>
      <c r="J69" s="219"/>
      <c r="K69" s="219"/>
      <c r="L69" s="219"/>
      <c r="M69" s="219"/>
      <c r="N69" s="219"/>
      <c r="O69" s="219"/>
      <c r="P69" s="219"/>
      <c r="Q69" s="219"/>
      <c r="R69" s="219"/>
      <c r="S69" s="219"/>
      <c r="T69" s="219"/>
      <c r="U69" s="101"/>
      <c r="V69" s="101"/>
      <c r="W69" s="101"/>
      <c r="X69" s="101"/>
      <c r="Y69" s="101"/>
    </row>
    <row r="70" spans="1:25" ht="15" thickBot="1">
      <c r="A70" s="201">
        <v>39</v>
      </c>
      <c r="B70" s="44" t="s">
        <v>271</v>
      </c>
      <c r="C70" s="7"/>
      <c r="D70" s="7"/>
      <c r="E70" s="45"/>
      <c r="F70" s="147"/>
      <c r="G70" s="327">
        <f>+G21+G33+G65+G68+G69</f>
        <v>3672523.3813827932</v>
      </c>
      <c r="H70" s="266"/>
      <c r="I70" s="219"/>
      <c r="J70" s="219"/>
      <c r="K70" s="219"/>
      <c r="L70" s="219"/>
      <c r="M70" s="219"/>
      <c r="N70" s="219"/>
      <c r="O70" s="219"/>
      <c r="P70" s="219"/>
      <c r="Q70" s="219"/>
      <c r="R70" s="219"/>
      <c r="S70" s="219"/>
      <c r="T70" s="219"/>
      <c r="U70" s="101"/>
      <c r="V70" s="101"/>
      <c r="W70" s="101"/>
      <c r="X70" s="101"/>
      <c r="Y70" s="101"/>
    </row>
    <row r="71" spans="1:25" s="13" customFormat="1">
      <c r="A71" s="220"/>
      <c r="D71" s="159"/>
      <c r="E71" s="160"/>
      <c r="F71" s="160"/>
      <c r="G71" s="328"/>
      <c r="H71" s="160"/>
      <c r="I71" s="225"/>
      <c r="J71" s="225"/>
      <c r="K71" s="225"/>
      <c r="L71" s="225"/>
      <c r="M71" s="225"/>
      <c r="N71" s="225"/>
      <c r="O71" s="225"/>
      <c r="P71" s="225"/>
      <c r="Q71" s="225"/>
      <c r="R71" s="225"/>
      <c r="S71" s="225"/>
      <c r="T71" s="225"/>
      <c r="U71" s="101"/>
      <c r="V71" s="101"/>
      <c r="W71" s="101"/>
      <c r="X71" s="101"/>
      <c r="Y71" s="101"/>
    </row>
    <row r="72" spans="1:25" s="13" customFormat="1">
      <c r="A72" s="220"/>
      <c r="E72" s="161"/>
      <c r="F72" s="161"/>
      <c r="G72" s="329"/>
      <c r="H72" s="161"/>
      <c r="I72" s="225"/>
      <c r="J72" s="225"/>
      <c r="K72" s="225"/>
      <c r="L72" s="225"/>
      <c r="M72" s="225"/>
      <c r="N72" s="225"/>
      <c r="O72" s="225"/>
      <c r="P72" s="225"/>
      <c r="Q72" s="225"/>
      <c r="R72" s="225"/>
      <c r="S72" s="225"/>
      <c r="T72" s="225"/>
      <c r="U72" s="101"/>
      <c r="V72" s="101"/>
      <c r="W72" s="101"/>
      <c r="X72" s="101"/>
      <c r="Y72" s="101"/>
    </row>
    <row r="73" spans="1:25" s="13" customFormat="1">
      <c r="A73" s="220"/>
      <c r="E73" s="161"/>
      <c r="F73" s="161"/>
      <c r="G73" s="329"/>
      <c r="H73" s="161"/>
      <c r="I73" s="225"/>
      <c r="J73" s="225"/>
      <c r="K73" s="225"/>
      <c r="L73" s="225"/>
      <c r="M73" s="225"/>
      <c r="N73" s="225"/>
      <c r="O73" s="225"/>
      <c r="P73" s="225"/>
      <c r="Q73" s="225"/>
      <c r="R73" s="225"/>
      <c r="S73" s="225"/>
      <c r="T73" s="225"/>
      <c r="U73" s="101"/>
      <c r="V73" s="101"/>
      <c r="W73" s="101"/>
      <c r="X73" s="101"/>
      <c r="Y73" s="101"/>
    </row>
    <row r="74" spans="1:25" s="13" customFormat="1" ht="20.25" customHeight="1">
      <c r="A74" s="203"/>
      <c r="B74" s="20" t="s">
        <v>273</v>
      </c>
      <c r="E74" s="14"/>
      <c r="F74" s="148"/>
      <c r="G74" s="330"/>
      <c r="H74" s="262"/>
      <c r="I74" s="219"/>
      <c r="J74" s="219"/>
      <c r="K74" s="219"/>
      <c r="L74" s="219"/>
      <c r="M74" s="219"/>
      <c r="N74" s="219"/>
      <c r="O74" s="219"/>
      <c r="P74" s="219"/>
      <c r="Q74" s="219"/>
      <c r="R74" s="219"/>
      <c r="S74" s="219"/>
      <c r="T74" s="219"/>
      <c r="U74" s="101"/>
      <c r="V74" s="101"/>
      <c r="W74" s="101"/>
      <c r="X74" s="101"/>
      <c r="Y74" s="101"/>
    </row>
    <row r="75" spans="1:25">
      <c r="A75" s="203"/>
      <c r="D75" s="13"/>
      <c r="E75" s="14" t="s">
        <v>33</v>
      </c>
      <c r="F75" s="148"/>
      <c r="G75" s="330"/>
      <c r="H75" s="262"/>
      <c r="I75" s="219"/>
      <c r="J75" s="219"/>
      <c r="K75" s="219"/>
      <c r="L75" s="219"/>
      <c r="M75" s="219"/>
      <c r="N75" s="219"/>
      <c r="O75" s="219"/>
      <c r="P75" s="219"/>
      <c r="Q75" s="219"/>
      <c r="R75" s="219"/>
      <c r="S75" s="219"/>
      <c r="T75" s="219"/>
      <c r="U75" s="101"/>
      <c r="V75" s="101"/>
      <c r="W75" s="101"/>
      <c r="X75" s="101"/>
      <c r="Y75" s="101"/>
    </row>
    <row r="76" spans="1:25" s="4" customFormat="1">
      <c r="A76" s="204"/>
      <c r="B76" s="54" t="s">
        <v>16</v>
      </c>
      <c r="C76" s="55"/>
      <c r="D76" s="55"/>
      <c r="E76" s="63" t="s">
        <v>33</v>
      </c>
      <c r="F76" s="149"/>
      <c r="G76" s="331"/>
      <c r="H76" s="263"/>
      <c r="I76" s="226"/>
      <c r="J76" s="226"/>
      <c r="K76" s="226"/>
      <c r="L76" s="226"/>
      <c r="M76" s="226"/>
      <c r="N76" s="226"/>
      <c r="O76" s="226"/>
      <c r="P76" s="226"/>
      <c r="Q76" s="226"/>
      <c r="R76" s="226"/>
      <c r="S76" s="226"/>
      <c r="T76" s="226"/>
      <c r="U76" s="222"/>
      <c r="V76" s="222"/>
      <c r="W76" s="222"/>
      <c r="X76" s="222"/>
      <c r="Y76" s="222"/>
    </row>
    <row r="77" spans="1:25" s="4" customFormat="1">
      <c r="A77" s="205"/>
      <c r="B77" s="89" t="s">
        <v>274</v>
      </c>
      <c r="C77" s="56"/>
      <c r="D77" s="56"/>
      <c r="E77" s="65"/>
      <c r="F77" s="150"/>
      <c r="G77" s="332"/>
      <c r="H77" s="264"/>
      <c r="I77" s="226"/>
      <c r="J77" s="226"/>
      <c r="K77" s="226"/>
      <c r="L77" s="226"/>
      <c r="M77" s="226"/>
      <c r="N77" s="226"/>
      <c r="O77" s="226"/>
      <c r="P77" s="226"/>
      <c r="Q77" s="226"/>
      <c r="R77" s="226"/>
      <c r="S77" s="226"/>
      <c r="T77" s="226"/>
      <c r="U77" s="222"/>
      <c r="V77" s="222"/>
      <c r="W77" s="222"/>
      <c r="X77" s="222"/>
      <c r="Y77" s="222"/>
    </row>
    <row r="78" spans="1:25">
      <c r="A78" s="206"/>
      <c r="B78" s="36"/>
      <c r="C78" s="9" t="s">
        <v>76</v>
      </c>
      <c r="D78" s="9"/>
      <c r="E78" s="61"/>
      <c r="F78" s="139"/>
      <c r="G78" s="317"/>
      <c r="H78" s="246"/>
      <c r="I78" s="219"/>
      <c r="J78" s="219"/>
      <c r="K78" s="219"/>
      <c r="L78" s="219"/>
      <c r="M78" s="219"/>
      <c r="N78" s="219"/>
      <c r="O78" s="219"/>
      <c r="P78" s="219"/>
      <c r="Q78" s="219"/>
      <c r="R78" s="219"/>
      <c r="S78" s="219"/>
      <c r="T78" s="219"/>
      <c r="U78" s="101"/>
      <c r="V78" s="101"/>
      <c r="W78" s="101"/>
      <c r="X78" s="101"/>
      <c r="Y78" s="101"/>
    </row>
    <row r="79" spans="1:25">
      <c r="A79" s="206">
        <v>40</v>
      </c>
      <c r="B79" s="36"/>
      <c r="C79" s="9"/>
      <c r="D79" s="9" t="s">
        <v>117</v>
      </c>
      <c r="E79" s="18">
        <v>112</v>
      </c>
      <c r="F79" s="140">
        <v>1100</v>
      </c>
      <c r="G79" s="312">
        <f>('Assumptions Expenses'!C2*'Assumptions Expenses'!D2)+('Assumptions Expenses'!C3*'Assumptions Expenses'!D3)</f>
        <v>795952</v>
      </c>
      <c r="H79" s="247" t="s">
        <v>510</v>
      </c>
      <c r="I79" s="219"/>
      <c r="J79" s="219"/>
      <c r="K79" s="219"/>
      <c r="L79" s="219"/>
      <c r="M79" s="219"/>
      <c r="N79" s="219"/>
      <c r="O79" s="219"/>
      <c r="P79" s="219"/>
      <c r="Q79" s="219"/>
      <c r="R79" s="219"/>
      <c r="S79" s="219"/>
      <c r="T79" s="219"/>
      <c r="U79" s="101"/>
      <c r="V79" s="101"/>
      <c r="W79" s="101"/>
      <c r="X79" s="101"/>
      <c r="Y79" s="101"/>
    </row>
    <row r="80" spans="1:25">
      <c r="A80" s="206">
        <v>41</v>
      </c>
      <c r="B80" s="36"/>
      <c r="C80" s="9"/>
      <c r="D80" s="9" t="s">
        <v>78</v>
      </c>
      <c r="E80" s="18" t="s">
        <v>79</v>
      </c>
      <c r="F80" s="140" t="s">
        <v>80</v>
      </c>
      <c r="G80" s="312">
        <f>'Assumptions Expenses'!C4*'Assumptions Expenses'!D4</f>
        <v>0</v>
      </c>
      <c r="H80" s="247"/>
      <c r="I80" s="219"/>
      <c r="J80" s="219"/>
      <c r="K80" s="219"/>
      <c r="L80" s="219"/>
      <c r="M80" s="219"/>
      <c r="N80" s="219"/>
      <c r="O80" s="219"/>
      <c r="P80" s="219"/>
      <c r="Q80" s="219"/>
      <c r="R80" s="219"/>
      <c r="S80" s="219"/>
      <c r="T80" s="219"/>
      <c r="U80" s="101"/>
      <c r="V80" s="101"/>
      <c r="W80" s="101"/>
      <c r="X80" s="101"/>
      <c r="Y80" s="101"/>
    </row>
    <row r="81" spans="1:25">
      <c r="A81" s="206">
        <v>42</v>
      </c>
      <c r="B81" s="36"/>
      <c r="C81" s="9"/>
      <c r="D81" s="9" t="s">
        <v>81</v>
      </c>
      <c r="E81" s="18" t="s">
        <v>82</v>
      </c>
      <c r="F81" s="140" t="s">
        <v>80</v>
      </c>
      <c r="G81" s="312">
        <v>15000</v>
      </c>
      <c r="H81" s="247" t="s">
        <v>468</v>
      </c>
      <c r="I81" s="219"/>
      <c r="J81" s="219"/>
      <c r="K81" s="219"/>
      <c r="L81" s="219"/>
      <c r="M81" s="219"/>
      <c r="N81" s="219"/>
      <c r="O81" s="219"/>
      <c r="P81" s="219"/>
      <c r="Q81" s="219"/>
      <c r="R81" s="219"/>
      <c r="S81" s="219"/>
      <c r="T81" s="219"/>
      <c r="U81" s="101"/>
      <c r="V81" s="101"/>
      <c r="W81" s="101"/>
      <c r="X81" s="101"/>
      <c r="Y81" s="101"/>
    </row>
    <row r="82" spans="1:25">
      <c r="A82" s="206">
        <v>43</v>
      </c>
      <c r="B82" s="36"/>
      <c r="C82" s="9" t="s">
        <v>83</v>
      </c>
      <c r="D82" s="9"/>
      <c r="E82" s="18" t="s">
        <v>84</v>
      </c>
      <c r="F82" s="140" t="s">
        <v>80</v>
      </c>
      <c r="G82" s="312">
        <v>35000</v>
      </c>
      <c r="H82" s="247" t="s">
        <v>469</v>
      </c>
      <c r="I82" s="219"/>
      <c r="J82" s="219"/>
      <c r="K82" s="219"/>
      <c r="L82" s="219"/>
      <c r="M82" s="219"/>
      <c r="N82" s="219"/>
      <c r="O82" s="219"/>
      <c r="P82" s="219"/>
      <c r="Q82" s="219"/>
      <c r="R82" s="219"/>
      <c r="S82" s="219"/>
      <c r="T82" s="219"/>
      <c r="U82" s="101"/>
      <c r="V82" s="101"/>
      <c r="W82" s="101"/>
      <c r="X82" s="101"/>
      <c r="Y82" s="101"/>
    </row>
    <row r="83" spans="1:25">
      <c r="A83" s="206">
        <v>44</v>
      </c>
      <c r="B83" s="36"/>
      <c r="C83" s="9" t="s">
        <v>85</v>
      </c>
      <c r="D83" s="9"/>
      <c r="E83" s="18" t="s">
        <v>86</v>
      </c>
      <c r="F83" s="140" t="s">
        <v>80</v>
      </c>
      <c r="G83" s="312"/>
      <c r="H83" s="247"/>
      <c r="I83" s="219"/>
      <c r="J83" s="219"/>
      <c r="K83" s="219"/>
      <c r="L83" s="219"/>
      <c r="M83" s="219"/>
      <c r="N83" s="219"/>
      <c r="O83" s="219"/>
      <c r="P83" s="219"/>
      <c r="Q83" s="219"/>
      <c r="R83" s="219"/>
      <c r="S83" s="219"/>
      <c r="T83" s="219"/>
      <c r="U83" s="101"/>
      <c r="V83" s="101"/>
      <c r="W83" s="101"/>
      <c r="X83" s="101"/>
      <c r="Y83" s="101"/>
    </row>
    <row r="84" spans="1:25">
      <c r="A84" s="206">
        <v>45</v>
      </c>
      <c r="B84" s="36"/>
      <c r="C84" s="9" t="s">
        <v>87</v>
      </c>
      <c r="D84" s="9"/>
      <c r="E84" s="18" t="s">
        <v>88</v>
      </c>
      <c r="F84" s="140" t="s">
        <v>80</v>
      </c>
      <c r="G84" s="312">
        <v>2500</v>
      </c>
      <c r="H84" s="247"/>
      <c r="I84" s="219"/>
      <c r="J84" s="219"/>
      <c r="K84" s="219"/>
      <c r="L84" s="219"/>
      <c r="M84" s="219"/>
      <c r="N84" s="219"/>
      <c r="O84" s="219"/>
      <c r="P84" s="219"/>
      <c r="Q84" s="219"/>
      <c r="R84" s="219"/>
      <c r="S84" s="219"/>
      <c r="T84" s="219"/>
      <c r="U84" s="101"/>
      <c r="V84" s="101"/>
      <c r="W84" s="101"/>
      <c r="X84" s="101"/>
      <c r="Y84" s="101"/>
    </row>
    <row r="85" spans="1:25">
      <c r="A85" s="206"/>
      <c r="B85" s="36"/>
      <c r="C85" s="9" t="s">
        <v>89</v>
      </c>
      <c r="D85" s="9"/>
      <c r="E85" s="61"/>
      <c r="F85" s="139"/>
      <c r="G85" s="317"/>
      <c r="H85" s="246"/>
      <c r="I85" s="219"/>
      <c r="J85" s="219"/>
      <c r="K85" s="219"/>
      <c r="L85" s="219"/>
      <c r="M85" s="219"/>
      <c r="N85" s="219"/>
      <c r="O85" s="219"/>
      <c r="P85" s="219"/>
      <c r="Q85" s="219"/>
      <c r="R85" s="219"/>
      <c r="S85" s="219"/>
      <c r="T85" s="219"/>
      <c r="U85" s="101"/>
      <c r="V85" s="101"/>
      <c r="W85" s="101"/>
      <c r="X85" s="101"/>
      <c r="Y85" s="101"/>
    </row>
    <row r="86" spans="1:25">
      <c r="A86" s="206">
        <v>46</v>
      </c>
      <c r="B86" s="36"/>
      <c r="C86" s="9"/>
      <c r="D86" s="9" t="s">
        <v>6</v>
      </c>
      <c r="E86" s="18" t="s">
        <v>90</v>
      </c>
      <c r="F86" s="140" t="s">
        <v>80</v>
      </c>
      <c r="G86" s="312">
        <f>Assumptions!B18*35</f>
        <v>10500</v>
      </c>
      <c r="H86" s="247" t="s">
        <v>457</v>
      </c>
      <c r="I86" s="219"/>
      <c r="J86" s="219"/>
      <c r="K86" s="219"/>
      <c r="L86" s="219"/>
      <c r="M86" s="219"/>
      <c r="N86" s="219"/>
      <c r="O86" s="219"/>
      <c r="P86" s="219"/>
      <c r="Q86" s="219"/>
      <c r="R86" s="219"/>
      <c r="S86" s="219"/>
      <c r="T86" s="219"/>
      <c r="U86" s="101"/>
      <c r="V86" s="101"/>
      <c r="W86" s="101"/>
      <c r="X86" s="101"/>
      <c r="Y86" s="101"/>
    </row>
    <row r="87" spans="1:25">
      <c r="A87" s="206">
        <v>47</v>
      </c>
      <c r="B87" s="36"/>
      <c r="C87" s="9"/>
      <c r="D87" s="9" t="s">
        <v>91</v>
      </c>
      <c r="E87" s="18" t="s">
        <v>92</v>
      </c>
      <c r="F87" s="140" t="s">
        <v>80</v>
      </c>
      <c r="G87" s="312">
        <f>Assumptions!B18*195</f>
        <v>58500</v>
      </c>
      <c r="H87" s="247" t="s">
        <v>458</v>
      </c>
      <c r="I87" s="219"/>
      <c r="J87" s="219"/>
      <c r="K87" s="219"/>
      <c r="L87" s="219"/>
      <c r="M87" s="219"/>
      <c r="N87" s="219"/>
      <c r="O87" s="219"/>
      <c r="P87" s="219"/>
      <c r="Q87" s="219"/>
      <c r="R87" s="219"/>
      <c r="S87" s="219"/>
      <c r="T87" s="219"/>
      <c r="U87" s="101"/>
      <c r="V87" s="101"/>
      <c r="W87" s="101"/>
      <c r="X87" s="101"/>
      <c r="Y87" s="101"/>
    </row>
    <row r="88" spans="1:25">
      <c r="A88" s="206">
        <v>48</v>
      </c>
      <c r="B88" s="36"/>
      <c r="C88" s="9" t="s">
        <v>93</v>
      </c>
      <c r="D88" s="9"/>
      <c r="E88" s="18" t="s">
        <v>94</v>
      </c>
      <c r="F88" s="140" t="s">
        <v>80</v>
      </c>
      <c r="G88" s="312">
        <f>Assumptions!B18*50</f>
        <v>15000</v>
      </c>
      <c r="H88" s="247" t="s">
        <v>459</v>
      </c>
      <c r="I88" s="219"/>
      <c r="J88" s="219"/>
      <c r="K88" s="219"/>
      <c r="L88" s="219"/>
      <c r="M88" s="219"/>
      <c r="N88" s="219"/>
      <c r="O88" s="219"/>
      <c r="P88" s="219"/>
      <c r="Q88" s="219"/>
      <c r="R88" s="219"/>
      <c r="S88" s="219"/>
      <c r="T88" s="219"/>
      <c r="U88" s="101"/>
      <c r="V88" s="101"/>
      <c r="W88" s="101"/>
      <c r="X88" s="101"/>
      <c r="Y88" s="101"/>
    </row>
    <row r="89" spans="1:25">
      <c r="A89" s="206">
        <v>49</v>
      </c>
      <c r="B89" s="36"/>
      <c r="C89" s="9" t="s">
        <v>95</v>
      </c>
      <c r="D89" s="9"/>
      <c r="E89" s="18" t="s">
        <v>96</v>
      </c>
      <c r="F89" s="140" t="s">
        <v>80</v>
      </c>
      <c r="G89" s="312">
        <f>Assumptions!B18*77</f>
        <v>23100</v>
      </c>
      <c r="H89" s="247" t="s">
        <v>478</v>
      </c>
      <c r="I89" s="219"/>
      <c r="J89" s="219"/>
      <c r="K89" s="219"/>
      <c r="L89" s="219"/>
      <c r="M89" s="219"/>
      <c r="N89" s="219"/>
      <c r="O89" s="219"/>
      <c r="P89" s="219"/>
      <c r="Q89" s="219"/>
      <c r="R89" s="219"/>
      <c r="S89" s="219"/>
      <c r="T89" s="219"/>
      <c r="U89" s="101"/>
      <c r="V89" s="101"/>
      <c r="W89" s="101"/>
      <c r="X89" s="101"/>
      <c r="Y89" s="101"/>
    </row>
    <row r="90" spans="1:25">
      <c r="A90" s="206">
        <v>50</v>
      </c>
      <c r="B90" s="36"/>
      <c r="C90" s="9" t="s">
        <v>295</v>
      </c>
      <c r="D90" s="9"/>
      <c r="E90" s="18" t="s">
        <v>97</v>
      </c>
      <c r="F90" s="140" t="s">
        <v>80</v>
      </c>
      <c r="G90" s="312">
        <f>SUM('Assumptions Expenses'!D2:D4)*3884</f>
        <v>62144</v>
      </c>
      <c r="H90" s="247" t="s">
        <v>454</v>
      </c>
      <c r="I90" s="219"/>
      <c r="J90" s="219"/>
      <c r="K90" s="219"/>
      <c r="L90" s="219"/>
      <c r="M90" s="219"/>
      <c r="N90" s="219"/>
      <c r="O90" s="219"/>
      <c r="P90" s="219"/>
      <c r="Q90" s="219"/>
      <c r="R90" s="219"/>
      <c r="S90" s="219"/>
      <c r="T90" s="219"/>
      <c r="U90" s="101"/>
      <c r="V90" s="101"/>
      <c r="W90" s="101"/>
      <c r="X90" s="101"/>
      <c r="Y90" s="101"/>
    </row>
    <row r="91" spans="1:25">
      <c r="A91" s="206">
        <v>51</v>
      </c>
      <c r="B91" s="36"/>
      <c r="C91" s="9" t="s">
        <v>98</v>
      </c>
      <c r="D91" s="9"/>
      <c r="E91" s="18" t="s">
        <v>99</v>
      </c>
      <c r="F91" s="140" t="s">
        <v>80</v>
      </c>
      <c r="G91" s="312">
        <f>SUM(G79:G81)*0.062</f>
        <v>50279.023999999998</v>
      </c>
      <c r="H91" s="367">
        <v>6.2E-2</v>
      </c>
      <c r="I91" s="219"/>
      <c r="J91" s="219"/>
      <c r="K91" s="219"/>
      <c r="L91" s="219"/>
      <c r="M91" s="219"/>
      <c r="N91" s="219"/>
      <c r="O91" s="219"/>
      <c r="P91" s="219"/>
      <c r="Q91" s="219"/>
      <c r="R91" s="219"/>
      <c r="S91" s="219"/>
      <c r="T91" s="219"/>
      <c r="U91" s="101"/>
      <c r="V91" s="101"/>
      <c r="W91" s="101"/>
      <c r="X91" s="101"/>
      <c r="Y91" s="101"/>
    </row>
    <row r="92" spans="1:25">
      <c r="A92" s="206">
        <v>52</v>
      </c>
      <c r="B92" s="36"/>
      <c r="C92" s="9" t="s">
        <v>100</v>
      </c>
      <c r="D92" s="9"/>
      <c r="E92" s="18" t="s">
        <v>101</v>
      </c>
      <c r="F92" s="140" t="s">
        <v>80</v>
      </c>
      <c r="G92" s="312">
        <f>SUM(G79:G81)*0.0145</f>
        <v>11758.804</v>
      </c>
      <c r="H92" s="367">
        <v>1.4500000000000001E-2</v>
      </c>
      <c r="I92" s="219"/>
      <c r="J92" s="219"/>
      <c r="K92" s="219"/>
      <c r="L92" s="219"/>
      <c r="M92" s="219"/>
      <c r="N92" s="219"/>
      <c r="O92" s="219"/>
      <c r="P92" s="219"/>
      <c r="Q92" s="219"/>
      <c r="R92" s="219"/>
      <c r="S92" s="219"/>
      <c r="T92" s="219"/>
      <c r="U92" s="101"/>
      <c r="V92" s="101"/>
      <c r="W92" s="101"/>
      <c r="X92" s="101"/>
      <c r="Y92" s="101"/>
    </row>
    <row r="93" spans="1:25">
      <c r="A93" s="206">
        <v>53</v>
      </c>
      <c r="B93" s="36"/>
      <c r="C93" s="9" t="s">
        <v>219</v>
      </c>
      <c r="D93" s="9"/>
      <c r="E93" s="18" t="s">
        <v>220</v>
      </c>
      <c r="F93" s="140">
        <v>1100</v>
      </c>
      <c r="G93" s="312">
        <f>SUM(G79:G81)*0.02</f>
        <v>16219.04</v>
      </c>
      <c r="H93" s="247" t="s">
        <v>525</v>
      </c>
      <c r="I93" s="219"/>
      <c r="J93" s="219"/>
      <c r="K93" s="219"/>
      <c r="L93" s="219"/>
      <c r="M93" s="219"/>
      <c r="N93" s="219"/>
      <c r="O93" s="219"/>
      <c r="P93" s="219"/>
      <c r="Q93" s="219"/>
      <c r="R93" s="219"/>
      <c r="S93" s="219"/>
      <c r="T93" s="219"/>
      <c r="U93" s="101"/>
      <c r="V93" s="101"/>
      <c r="W93" s="101"/>
      <c r="X93" s="101"/>
      <c r="Y93" s="101"/>
    </row>
    <row r="94" spans="1:25">
      <c r="A94" s="206">
        <v>54</v>
      </c>
      <c r="B94" s="36"/>
      <c r="C94" s="9" t="s">
        <v>102</v>
      </c>
      <c r="D94" s="9"/>
      <c r="E94" s="18" t="s">
        <v>103</v>
      </c>
      <c r="F94" s="140" t="s">
        <v>80</v>
      </c>
      <c r="G94" s="312">
        <f>SUM(G79:G81)*0.0098</f>
        <v>7947.3296</v>
      </c>
      <c r="H94" s="367">
        <v>9.7999999999999997E-3</v>
      </c>
      <c r="I94" s="219"/>
      <c r="J94" s="219"/>
      <c r="K94" s="219"/>
      <c r="L94" s="219"/>
      <c r="M94" s="219"/>
      <c r="N94" s="219"/>
      <c r="O94" s="219"/>
      <c r="P94" s="219"/>
      <c r="Q94" s="219"/>
      <c r="R94" s="219"/>
      <c r="S94" s="219"/>
      <c r="T94" s="219"/>
      <c r="U94" s="101"/>
      <c r="V94" s="101"/>
      <c r="W94" s="101"/>
      <c r="X94" s="101"/>
      <c r="Y94" s="101"/>
    </row>
    <row r="95" spans="1:25">
      <c r="A95" s="206">
        <v>55</v>
      </c>
      <c r="B95" s="36"/>
      <c r="C95" s="9" t="s">
        <v>104</v>
      </c>
      <c r="D95" s="9"/>
      <c r="E95" s="18" t="s">
        <v>105</v>
      </c>
      <c r="F95" s="140" t="s">
        <v>80</v>
      </c>
      <c r="G95" s="312">
        <f>SUM(G79:G81)*0.0075</f>
        <v>6082.1399999999994</v>
      </c>
      <c r="H95" s="367">
        <v>7.4999999999999997E-3</v>
      </c>
      <c r="I95" s="219"/>
      <c r="J95" s="219"/>
      <c r="K95" s="219"/>
      <c r="L95" s="219"/>
      <c r="M95" s="219"/>
      <c r="N95" s="219"/>
      <c r="O95" s="219"/>
      <c r="P95" s="219"/>
      <c r="Q95" s="219"/>
      <c r="R95" s="219"/>
      <c r="S95" s="219"/>
      <c r="T95" s="219"/>
      <c r="U95" s="101"/>
      <c r="V95" s="101"/>
      <c r="W95" s="101"/>
      <c r="X95" s="101"/>
      <c r="Y95" s="101"/>
    </row>
    <row r="96" spans="1:25">
      <c r="A96" s="206">
        <v>56</v>
      </c>
      <c r="B96" s="36"/>
      <c r="C96" s="85" t="s">
        <v>283</v>
      </c>
      <c r="D96" s="9"/>
      <c r="E96" s="18"/>
      <c r="F96" s="140"/>
      <c r="G96" s="312"/>
      <c r="H96" s="247"/>
      <c r="I96" s="219"/>
      <c r="J96" s="219"/>
      <c r="K96" s="219"/>
      <c r="L96" s="219"/>
      <c r="M96" s="219"/>
      <c r="N96" s="219"/>
      <c r="O96" s="219"/>
      <c r="P96" s="219"/>
      <c r="Q96" s="219"/>
      <c r="R96" s="219"/>
      <c r="S96" s="219"/>
      <c r="T96" s="219"/>
      <c r="U96" s="101"/>
      <c r="V96" s="101"/>
      <c r="W96" s="101"/>
      <c r="X96" s="101"/>
      <c r="Y96" s="101"/>
    </row>
    <row r="97" spans="1:25">
      <c r="A97" s="206">
        <v>57</v>
      </c>
      <c r="B97" s="36"/>
      <c r="C97" s="85"/>
      <c r="D97" s="9"/>
      <c r="E97" s="18"/>
      <c r="F97" s="140"/>
      <c r="G97" s="312"/>
      <c r="H97" s="247"/>
      <c r="I97" s="219"/>
      <c r="J97" s="219"/>
      <c r="K97" s="219"/>
      <c r="L97" s="219"/>
      <c r="M97" s="219"/>
      <c r="N97" s="219"/>
      <c r="O97" s="219"/>
      <c r="P97" s="219"/>
      <c r="Q97" s="219"/>
      <c r="R97" s="219"/>
      <c r="S97" s="219"/>
      <c r="T97" s="219"/>
      <c r="U97" s="101"/>
      <c r="V97" s="101"/>
      <c r="W97" s="101"/>
      <c r="X97" s="101"/>
      <c r="Y97" s="101"/>
    </row>
    <row r="98" spans="1:25">
      <c r="A98" s="206">
        <v>58</v>
      </c>
      <c r="B98" s="36"/>
      <c r="C98" s="85"/>
      <c r="D98" s="9"/>
      <c r="E98" s="18"/>
      <c r="F98" s="140"/>
      <c r="G98" s="312"/>
      <c r="H98" s="247"/>
      <c r="I98" s="219"/>
      <c r="J98" s="219"/>
      <c r="K98" s="219"/>
      <c r="L98" s="219"/>
      <c r="M98" s="219"/>
      <c r="N98" s="219"/>
      <c r="O98" s="219"/>
      <c r="P98" s="219"/>
      <c r="Q98" s="219"/>
      <c r="R98" s="219"/>
      <c r="S98" s="219"/>
      <c r="T98" s="219"/>
      <c r="U98" s="101"/>
      <c r="V98" s="101"/>
      <c r="W98" s="101"/>
      <c r="X98" s="101"/>
      <c r="Y98" s="101"/>
    </row>
    <row r="99" spans="1:25">
      <c r="A99" s="206">
        <v>59</v>
      </c>
      <c r="D99" s="13"/>
      <c r="E99" s="14"/>
      <c r="F99" s="148"/>
      <c r="G99" s="330"/>
      <c r="H99" s="262"/>
      <c r="I99" s="219"/>
      <c r="J99" s="219"/>
      <c r="K99" s="219"/>
      <c r="L99" s="219"/>
      <c r="M99" s="219"/>
      <c r="N99" s="219"/>
      <c r="O99" s="219"/>
      <c r="P99" s="219"/>
      <c r="Q99" s="219"/>
      <c r="R99" s="219"/>
      <c r="S99" s="219"/>
      <c r="T99" s="219"/>
      <c r="U99" s="101"/>
      <c r="V99" s="101"/>
      <c r="W99" s="101"/>
      <c r="X99" s="101"/>
      <c r="Y99" s="101"/>
    </row>
    <row r="100" spans="1:25">
      <c r="A100" s="207">
        <v>60</v>
      </c>
      <c r="B100" s="87" t="s">
        <v>106</v>
      </c>
      <c r="C100" s="51"/>
      <c r="D100" s="51"/>
      <c r="E100" s="49"/>
      <c r="F100" s="144"/>
      <c r="G100" s="320">
        <f>SUM(G78:G99)</f>
        <v>1109982.3376</v>
      </c>
      <c r="H100" s="250"/>
      <c r="I100" s="219"/>
      <c r="J100" s="219"/>
      <c r="K100" s="219"/>
      <c r="L100" s="219"/>
      <c r="M100" s="219"/>
      <c r="N100" s="219"/>
      <c r="O100" s="219"/>
      <c r="P100" s="219"/>
      <c r="Q100" s="219"/>
      <c r="R100" s="219"/>
      <c r="S100" s="219"/>
      <c r="T100" s="219"/>
      <c r="U100" s="101"/>
      <c r="V100" s="101"/>
      <c r="W100" s="101"/>
      <c r="X100" s="101"/>
      <c r="Y100" s="101"/>
    </row>
    <row r="101" spans="1:25">
      <c r="A101" s="206"/>
      <c r="D101" s="13"/>
      <c r="E101" s="14"/>
      <c r="F101" s="148"/>
      <c r="G101" s="330"/>
      <c r="H101" s="262"/>
      <c r="I101" s="219"/>
      <c r="J101" s="219"/>
      <c r="K101" s="219"/>
      <c r="L101" s="219"/>
      <c r="M101" s="219"/>
      <c r="N101" s="219"/>
      <c r="O101" s="219"/>
      <c r="P101" s="219"/>
      <c r="Q101" s="219"/>
      <c r="R101" s="219"/>
      <c r="S101" s="219"/>
      <c r="T101" s="219"/>
      <c r="U101" s="101"/>
      <c r="V101" s="101"/>
      <c r="W101" s="101"/>
      <c r="X101" s="101"/>
      <c r="Y101" s="101"/>
    </row>
    <row r="102" spans="1:25" s="4" customFormat="1">
      <c r="A102" s="208"/>
      <c r="B102" s="90" t="s">
        <v>14</v>
      </c>
      <c r="C102" s="55"/>
      <c r="D102" s="59"/>
      <c r="E102" s="63"/>
      <c r="F102" s="149"/>
      <c r="G102" s="331"/>
      <c r="H102" s="263"/>
      <c r="I102" s="226"/>
      <c r="J102" s="226"/>
      <c r="K102" s="226"/>
      <c r="L102" s="226"/>
      <c r="M102" s="226"/>
      <c r="N102" s="226"/>
      <c r="O102" s="226"/>
      <c r="P102" s="226"/>
      <c r="Q102" s="226"/>
      <c r="R102" s="226"/>
      <c r="S102" s="226"/>
      <c r="T102" s="226"/>
      <c r="U102" s="222"/>
      <c r="V102" s="222"/>
      <c r="W102" s="222"/>
      <c r="X102" s="222"/>
      <c r="Y102" s="222"/>
    </row>
    <row r="103" spans="1:25" s="4" customFormat="1">
      <c r="A103" s="209"/>
      <c r="B103" s="89" t="s">
        <v>15</v>
      </c>
      <c r="C103" s="56"/>
      <c r="D103" s="60"/>
      <c r="E103" s="65"/>
      <c r="F103" s="150"/>
      <c r="G103" s="332"/>
      <c r="H103" s="264"/>
      <c r="I103" s="226"/>
      <c r="J103" s="226"/>
      <c r="K103" s="226"/>
      <c r="L103" s="226"/>
      <c r="M103" s="226"/>
      <c r="N103" s="226"/>
      <c r="O103" s="226"/>
      <c r="P103" s="226"/>
      <c r="Q103" s="226"/>
      <c r="R103" s="226"/>
      <c r="S103" s="226"/>
      <c r="T103" s="226"/>
      <c r="U103" s="222"/>
      <c r="V103" s="222"/>
      <c r="W103" s="222"/>
      <c r="X103" s="222"/>
      <c r="Y103" s="222"/>
    </row>
    <row r="104" spans="1:25">
      <c r="A104" s="206"/>
      <c r="B104" s="9"/>
      <c r="C104" s="9" t="s">
        <v>76</v>
      </c>
      <c r="D104" s="13"/>
      <c r="E104" s="61"/>
      <c r="F104" s="139"/>
      <c r="G104" s="317"/>
      <c r="H104" s="246"/>
      <c r="I104" s="219"/>
      <c r="J104" s="219"/>
      <c r="K104" s="219"/>
      <c r="L104" s="219"/>
      <c r="M104" s="219"/>
      <c r="N104" s="219"/>
      <c r="O104" s="219"/>
      <c r="P104" s="219"/>
      <c r="Q104" s="219"/>
      <c r="R104" s="219"/>
      <c r="S104" s="219"/>
      <c r="T104" s="219"/>
      <c r="U104" s="101"/>
      <c r="V104" s="101"/>
      <c r="W104" s="101"/>
      <c r="X104" s="101"/>
      <c r="Y104" s="101"/>
    </row>
    <row r="105" spans="1:25">
      <c r="A105" s="206">
        <v>61</v>
      </c>
      <c r="B105" s="36"/>
      <c r="C105" s="9"/>
      <c r="D105" s="9" t="s">
        <v>117</v>
      </c>
      <c r="E105" s="18" t="s">
        <v>77</v>
      </c>
      <c r="F105" s="140" t="s">
        <v>107</v>
      </c>
      <c r="G105" s="312">
        <f>'Assumptions Expenses'!C7*'Assumptions Expenses'!D7</f>
        <v>191232</v>
      </c>
      <c r="H105" s="247" t="s">
        <v>518</v>
      </c>
      <c r="I105" s="219"/>
      <c r="J105" s="219"/>
      <c r="K105" s="219"/>
      <c r="L105" s="219"/>
      <c r="M105" s="219"/>
      <c r="N105" s="219"/>
      <c r="O105" s="219"/>
      <c r="P105" s="219"/>
      <c r="Q105" s="219"/>
      <c r="R105" s="219"/>
      <c r="S105" s="219"/>
      <c r="T105" s="219"/>
      <c r="U105" s="101"/>
      <c r="V105" s="101"/>
      <c r="W105" s="101"/>
      <c r="X105" s="101"/>
      <c r="Y105" s="101"/>
    </row>
    <row r="106" spans="1:25">
      <c r="A106" s="206">
        <v>62</v>
      </c>
      <c r="B106" s="36"/>
      <c r="C106" s="9"/>
      <c r="D106" s="9" t="s">
        <v>285</v>
      </c>
      <c r="E106" s="18" t="s">
        <v>108</v>
      </c>
      <c r="F106" s="140" t="s">
        <v>107</v>
      </c>
      <c r="G106" s="312">
        <f>'Assumptions Expenses'!C8*'Assumptions Expenses'!D8</f>
        <v>52910</v>
      </c>
      <c r="H106" s="247" t="s">
        <v>461</v>
      </c>
      <c r="I106" s="219"/>
      <c r="J106" s="219"/>
      <c r="K106" s="219"/>
      <c r="L106" s="219"/>
      <c r="M106" s="219"/>
      <c r="N106" s="219"/>
      <c r="O106" s="219"/>
      <c r="P106" s="219"/>
      <c r="Q106" s="219"/>
      <c r="R106" s="219"/>
      <c r="S106" s="219"/>
      <c r="T106" s="219"/>
      <c r="U106" s="101"/>
      <c r="V106" s="101"/>
      <c r="W106" s="101"/>
      <c r="X106" s="101"/>
      <c r="Y106" s="101"/>
    </row>
    <row r="107" spans="1:25">
      <c r="A107" s="206">
        <v>63</v>
      </c>
      <c r="B107" s="36"/>
      <c r="C107" s="9"/>
      <c r="D107" s="9" t="s">
        <v>78</v>
      </c>
      <c r="E107" s="18" t="s">
        <v>79</v>
      </c>
      <c r="F107" s="140" t="s">
        <v>107</v>
      </c>
      <c r="G107" s="312">
        <f>'Assumptions Expenses'!C9*'Assumptions Expenses'!D9</f>
        <v>0</v>
      </c>
      <c r="H107" s="247"/>
      <c r="I107" s="219"/>
      <c r="J107" s="219"/>
      <c r="K107" s="219"/>
      <c r="L107" s="219"/>
      <c r="M107" s="219"/>
      <c r="N107" s="219"/>
      <c r="O107" s="219"/>
      <c r="P107" s="219"/>
      <c r="Q107" s="219"/>
      <c r="R107" s="219"/>
      <c r="S107" s="219"/>
      <c r="T107" s="219"/>
      <c r="U107" s="101"/>
      <c r="V107" s="101"/>
      <c r="W107" s="101"/>
      <c r="X107" s="101"/>
      <c r="Y107" s="101"/>
    </row>
    <row r="108" spans="1:25">
      <c r="A108" s="206">
        <v>64</v>
      </c>
      <c r="B108" s="36"/>
      <c r="C108" s="9"/>
      <c r="D108" s="9" t="s">
        <v>81</v>
      </c>
      <c r="E108" s="18" t="s">
        <v>82</v>
      </c>
      <c r="F108" s="140" t="s">
        <v>107</v>
      </c>
      <c r="G108" s="312">
        <f>'Assumptions Expenses'!C10*'Assumptions Expenses'!D10</f>
        <v>54008</v>
      </c>
      <c r="H108" s="247" t="s">
        <v>462</v>
      </c>
      <c r="I108" s="219"/>
      <c r="J108" s="219"/>
      <c r="K108" s="219"/>
      <c r="L108" s="219"/>
      <c r="M108" s="219"/>
      <c r="N108" s="219"/>
      <c r="O108" s="219"/>
      <c r="P108" s="219"/>
      <c r="Q108" s="219"/>
      <c r="R108" s="219"/>
      <c r="S108" s="219"/>
      <c r="T108" s="219"/>
      <c r="U108" s="101"/>
      <c r="V108" s="101"/>
      <c r="W108" s="101"/>
      <c r="X108" s="101"/>
      <c r="Y108" s="101"/>
    </row>
    <row r="109" spans="1:25">
      <c r="A109" s="206">
        <v>65</v>
      </c>
      <c r="B109" s="36"/>
      <c r="C109" s="9" t="s">
        <v>83</v>
      </c>
      <c r="D109" s="9"/>
      <c r="E109" s="18" t="s">
        <v>84</v>
      </c>
      <c r="F109" s="140" t="s">
        <v>107</v>
      </c>
      <c r="G109" s="312">
        <v>45000</v>
      </c>
      <c r="H109" s="247" t="s">
        <v>509</v>
      </c>
      <c r="I109" s="219"/>
      <c r="J109" s="219"/>
      <c r="K109" s="219"/>
      <c r="L109" s="219"/>
      <c r="M109" s="219"/>
      <c r="N109" s="219"/>
      <c r="O109" s="219"/>
      <c r="P109" s="219"/>
      <c r="Q109" s="219"/>
      <c r="R109" s="219"/>
      <c r="S109" s="219"/>
      <c r="T109" s="219"/>
      <c r="U109" s="101"/>
      <c r="V109" s="101"/>
      <c r="W109" s="101"/>
      <c r="X109" s="101"/>
      <c r="Y109" s="101"/>
    </row>
    <row r="110" spans="1:25">
      <c r="A110" s="206">
        <v>66</v>
      </c>
      <c r="B110" s="36"/>
      <c r="C110" s="9" t="s">
        <v>85</v>
      </c>
      <c r="D110" s="9"/>
      <c r="E110" s="18">
        <v>430</v>
      </c>
      <c r="F110" s="140">
        <v>1210</v>
      </c>
      <c r="G110" s="312"/>
      <c r="H110" s="247"/>
      <c r="I110" s="219"/>
      <c r="J110" s="219"/>
      <c r="K110" s="219"/>
      <c r="L110" s="219"/>
      <c r="M110" s="219"/>
      <c r="N110" s="219"/>
      <c r="O110" s="219"/>
      <c r="P110" s="219"/>
      <c r="Q110" s="219"/>
      <c r="R110" s="219"/>
      <c r="S110" s="219"/>
      <c r="T110" s="219"/>
      <c r="U110" s="101"/>
      <c r="V110" s="101"/>
      <c r="W110" s="101"/>
      <c r="X110" s="101"/>
      <c r="Y110" s="101"/>
    </row>
    <row r="111" spans="1:25">
      <c r="A111" s="206">
        <v>67</v>
      </c>
      <c r="B111" s="36"/>
      <c r="C111" s="9" t="s">
        <v>87</v>
      </c>
      <c r="D111" s="9"/>
      <c r="E111" s="18" t="s">
        <v>88</v>
      </c>
      <c r="F111" s="140" t="s">
        <v>107</v>
      </c>
      <c r="G111" s="312"/>
      <c r="H111" s="247"/>
      <c r="I111" s="219"/>
      <c r="J111" s="219"/>
      <c r="K111" s="219"/>
      <c r="L111" s="219"/>
      <c r="M111" s="219"/>
      <c r="N111" s="219"/>
      <c r="O111" s="219"/>
      <c r="P111" s="219"/>
      <c r="Q111" s="219"/>
      <c r="R111" s="219"/>
      <c r="S111" s="219"/>
      <c r="T111" s="219"/>
      <c r="U111" s="101"/>
      <c r="V111" s="101"/>
      <c r="W111" s="101"/>
      <c r="X111" s="101"/>
      <c r="Y111" s="101"/>
    </row>
    <row r="112" spans="1:25">
      <c r="A112" s="206"/>
      <c r="B112" s="36"/>
      <c r="C112" s="9" t="s">
        <v>109</v>
      </c>
      <c r="D112" s="9"/>
      <c r="E112" s="61"/>
      <c r="F112" s="139"/>
      <c r="G112" s="317"/>
      <c r="H112" s="246"/>
      <c r="I112" s="219"/>
      <c r="J112" s="219"/>
      <c r="K112" s="219"/>
      <c r="L112" s="219"/>
      <c r="M112" s="219"/>
      <c r="N112" s="219"/>
      <c r="O112" s="219"/>
      <c r="P112" s="219"/>
      <c r="Q112" s="219"/>
      <c r="R112" s="219"/>
      <c r="S112" s="219"/>
      <c r="T112" s="219"/>
      <c r="U112" s="101"/>
      <c r="V112" s="101"/>
      <c r="W112" s="101"/>
      <c r="X112" s="101"/>
      <c r="Y112" s="101"/>
    </row>
    <row r="113" spans="1:25">
      <c r="A113" s="206">
        <v>68</v>
      </c>
      <c r="B113" s="36"/>
      <c r="C113" s="9"/>
      <c r="D113" s="9" t="s">
        <v>110</v>
      </c>
      <c r="E113" s="18" t="s">
        <v>90</v>
      </c>
      <c r="F113" s="140" t="s">
        <v>107</v>
      </c>
      <c r="G113" s="312">
        <f>SUM(Assumptions!B26*35)</f>
        <v>1540</v>
      </c>
      <c r="H113" s="247" t="s">
        <v>457</v>
      </c>
      <c r="I113" s="219"/>
      <c r="J113" s="219"/>
      <c r="K113" s="219"/>
      <c r="L113" s="219"/>
      <c r="M113" s="219"/>
      <c r="N113" s="219"/>
      <c r="O113" s="219"/>
      <c r="P113" s="219"/>
      <c r="Q113" s="219"/>
      <c r="R113" s="219"/>
      <c r="S113" s="219"/>
      <c r="T113" s="219"/>
      <c r="U113" s="101"/>
      <c r="V113" s="101"/>
      <c r="W113" s="101"/>
      <c r="X113" s="101"/>
      <c r="Y113" s="101"/>
    </row>
    <row r="114" spans="1:25">
      <c r="A114" s="206">
        <v>69</v>
      </c>
      <c r="B114" s="36"/>
      <c r="C114" s="9"/>
      <c r="D114" s="9" t="s">
        <v>91</v>
      </c>
      <c r="E114" s="18" t="s">
        <v>92</v>
      </c>
      <c r="F114" s="140" t="s">
        <v>107</v>
      </c>
      <c r="G114" s="312">
        <f>SUM(Assumptions!B26*195)</f>
        <v>8580</v>
      </c>
      <c r="H114" s="247" t="s">
        <v>458</v>
      </c>
      <c r="I114" s="219"/>
      <c r="J114" s="219"/>
      <c r="K114" s="219"/>
      <c r="L114" s="219"/>
      <c r="M114" s="219"/>
      <c r="N114" s="219"/>
      <c r="O114" s="219"/>
      <c r="P114" s="219"/>
      <c r="Q114" s="219"/>
      <c r="R114" s="219"/>
      <c r="S114" s="219"/>
      <c r="T114" s="219"/>
      <c r="U114" s="101"/>
      <c r="V114" s="101"/>
      <c r="W114" s="101"/>
      <c r="X114" s="101"/>
      <c r="Y114" s="101"/>
    </row>
    <row r="115" spans="1:25">
      <c r="A115" s="206">
        <v>70</v>
      </c>
      <c r="B115" s="36"/>
      <c r="C115" s="9" t="s">
        <v>93</v>
      </c>
      <c r="D115" s="9"/>
      <c r="E115" s="18" t="s">
        <v>94</v>
      </c>
      <c r="F115" s="140" t="s">
        <v>107</v>
      </c>
      <c r="G115" s="312">
        <f>Assumptions!B26*50</f>
        <v>2200</v>
      </c>
      <c r="H115" s="247" t="s">
        <v>459</v>
      </c>
      <c r="I115" s="219"/>
      <c r="J115" s="219"/>
      <c r="K115" s="219"/>
      <c r="L115" s="219"/>
      <c r="M115" s="219"/>
      <c r="N115" s="219"/>
      <c r="O115" s="219"/>
      <c r="P115" s="219"/>
      <c r="Q115" s="219"/>
      <c r="R115" s="219"/>
      <c r="S115" s="219"/>
      <c r="T115" s="219"/>
      <c r="U115" s="101"/>
      <c r="V115" s="101"/>
      <c r="W115" s="101"/>
      <c r="X115" s="101"/>
      <c r="Y115" s="101"/>
    </row>
    <row r="116" spans="1:25">
      <c r="A116" s="206">
        <v>71</v>
      </c>
      <c r="B116" s="36"/>
      <c r="C116" s="9" t="s">
        <v>95</v>
      </c>
      <c r="D116" s="9"/>
      <c r="E116" s="18" t="s">
        <v>96</v>
      </c>
      <c r="F116" s="140" t="s">
        <v>107</v>
      </c>
      <c r="G116" s="312">
        <f>Assumptions!B26*77</f>
        <v>3388</v>
      </c>
      <c r="H116" s="247" t="s">
        <v>478</v>
      </c>
      <c r="I116" s="219"/>
      <c r="J116" s="219"/>
      <c r="K116" s="219"/>
      <c r="L116" s="219"/>
      <c r="M116" s="219"/>
      <c r="N116" s="219"/>
      <c r="O116" s="219"/>
      <c r="P116" s="219"/>
      <c r="Q116" s="219"/>
      <c r="R116" s="219"/>
      <c r="S116" s="219"/>
      <c r="T116" s="219"/>
      <c r="U116" s="101"/>
      <c r="V116" s="101"/>
      <c r="W116" s="101"/>
      <c r="X116" s="101"/>
      <c r="Y116" s="101"/>
    </row>
    <row r="117" spans="1:25">
      <c r="A117" s="206">
        <v>72</v>
      </c>
      <c r="B117" s="36"/>
      <c r="C117" s="9" t="s">
        <v>295</v>
      </c>
      <c r="D117" s="9"/>
      <c r="E117" s="18" t="s">
        <v>97</v>
      </c>
      <c r="F117" s="140" t="s">
        <v>34</v>
      </c>
      <c r="G117" s="312">
        <f>SUM('Assumptions Expenses'!D7:D10)*3884</f>
        <v>27188</v>
      </c>
      <c r="H117" s="247" t="s">
        <v>454</v>
      </c>
      <c r="I117" s="219"/>
      <c r="J117" s="219"/>
      <c r="K117" s="219"/>
      <c r="L117" s="219"/>
      <c r="M117" s="219"/>
      <c r="N117" s="219"/>
      <c r="O117" s="219"/>
      <c r="P117" s="219"/>
      <c r="Q117" s="219"/>
      <c r="R117" s="219"/>
      <c r="S117" s="219"/>
      <c r="T117" s="219"/>
      <c r="U117" s="101"/>
      <c r="V117" s="101"/>
      <c r="W117" s="101"/>
      <c r="X117" s="101"/>
      <c r="Y117" s="101"/>
    </row>
    <row r="118" spans="1:25">
      <c r="A118" s="206">
        <v>73</v>
      </c>
      <c r="B118" s="36"/>
      <c r="C118" s="9" t="s">
        <v>98</v>
      </c>
      <c r="D118" s="9"/>
      <c r="E118" s="18" t="s">
        <v>99</v>
      </c>
      <c r="F118" s="140" t="s">
        <v>34</v>
      </c>
      <c r="G118" s="312">
        <f>SUM(G105:G108)*0.062</f>
        <v>18485.3</v>
      </c>
      <c r="H118" s="367">
        <v>6.2E-2</v>
      </c>
      <c r="I118" s="219"/>
      <c r="J118" s="219"/>
      <c r="K118" s="219"/>
      <c r="L118" s="219"/>
      <c r="M118" s="219"/>
      <c r="N118" s="219"/>
      <c r="O118" s="219"/>
      <c r="P118" s="219"/>
      <c r="Q118" s="219"/>
      <c r="R118" s="219"/>
      <c r="S118" s="219"/>
      <c r="T118" s="219"/>
      <c r="U118" s="101"/>
      <c r="V118" s="101"/>
      <c r="W118" s="101"/>
      <c r="X118" s="101"/>
      <c r="Y118" s="101"/>
    </row>
    <row r="119" spans="1:25">
      <c r="A119" s="206">
        <v>74</v>
      </c>
      <c r="B119" s="36"/>
      <c r="C119" s="9" t="s">
        <v>100</v>
      </c>
      <c r="D119" s="9"/>
      <c r="E119" s="18" t="s">
        <v>101</v>
      </c>
      <c r="F119" s="140" t="s">
        <v>34</v>
      </c>
      <c r="G119" s="312">
        <f>SUM(G105:G108)*0.0145</f>
        <v>4323.1750000000002</v>
      </c>
      <c r="H119" s="367">
        <v>1.4500000000000001E-2</v>
      </c>
      <c r="I119" s="219"/>
      <c r="J119" s="219"/>
      <c r="K119" s="219"/>
      <c r="L119" s="219"/>
      <c r="M119" s="219"/>
      <c r="N119" s="219"/>
      <c r="O119" s="219"/>
      <c r="P119" s="219"/>
      <c r="Q119" s="219"/>
      <c r="R119" s="219"/>
      <c r="S119" s="219"/>
      <c r="T119" s="219"/>
      <c r="U119" s="101"/>
      <c r="V119" s="101"/>
      <c r="W119" s="101"/>
      <c r="X119" s="101"/>
      <c r="Y119" s="101"/>
    </row>
    <row r="120" spans="1:25">
      <c r="A120" s="206">
        <v>75</v>
      </c>
      <c r="B120" s="36"/>
      <c r="C120" s="9" t="s">
        <v>219</v>
      </c>
      <c r="D120" s="9"/>
      <c r="E120" s="18" t="s">
        <v>220</v>
      </c>
      <c r="F120" s="140">
        <v>1200</v>
      </c>
      <c r="G120" s="312">
        <f>SUM(G105:G108)*0.02</f>
        <v>5963</v>
      </c>
      <c r="H120" s="247" t="s">
        <v>525</v>
      </c>
      <c r="I120" s="219"/>
      <c r="J120" s="219"/>
      <c r="K120" s="219"/>
      <c r="L120" s="219"/>
      <c r="M120" s="219"/>
      <c r="N120" s="219"/>
      <c r="O120" s="219"/>
      <c r="P120" s="219"/>
      <c r="Q120" s="219"/>
      <c r="R120" s="219"/>
      <c r="S120" s="219"/>
      <c r="T120" s="219"/>
      <c r="U120" s="101"/>
      <c r="V120" s="101"/>
      <c r="W120" s="101"/>
      <c r="X120" s="101"/>
      <c r="Y120" s="101"/>
    </row>
    <row r="121" spans="1:25">
      <c r="A121" s="206">
        <v>76</v>
      </c>
      <c r="B121" s="36"/>
      <c r="C121" s="9" t="s">
        <v>102</v>
      </c>
      <c r="D121" s="9"/>
      <c r="E121" s="18" t="s">
        <v>103</v>
      </c>
      <c r="F121" s="140" t="s">
        <v>34</v>
      </c>
      <c r="G121" s="312">
        <f>SUM(G105:G108)*0.0098</f>
        <v>2921.87</v>
      </c>
      <c r="H121" s="367">
        <v>9.7999999999999997E-3</v>
      </c>
      <c r="I121" s="219"/>
      <c r="J121" s="219"/>
      <c r="K121" s="219"/>
      <c r="L121" s="219"/>
      <c r="M121" s="219"/>
      <c r="N121" s="219"/>
      <c r="O121" s="219"/>
      <c r="P121" s="219"/>
      <c r="Q121" s="219"/>
      <c r="R121" s="219"/>
      <c r="S121" s="219"/>
      <c r="T121" s="219"/>
      <c r="U121" s="101"/>
      <c r="V121" s="101"/>
      <c r="W121" s="101"/>
      <c r="X121" s="101"/>
      <c r="Y121" s="101"/>
    </row>
    <row r="122" spans="1:25">
      <c r="A122" s="206">
        <v>77</v>
      </c>
      <c r="B122" s="36"/>
      <c r="C122" s="9" t="s">
        <v>104</v>
      </c>
      <c r="D122" s="9"/>
      <c r="E122" s="18" t="s">
        <v>105</v>
      </c>
      <c r="F122" s="140" t="s">
        <v>34</v>
      </c>
      <c r="G122" s="312">
        <f>SUM(G105:G108)*0.0075</f>
        <v>2236.125</v>
      </c>
      <c r="H122" s="367">
        <v>7.4999999999999997E-3</v>
      </c>
      <c r="I122" s="219"/>
      <c r="J122" s="219"/>
      <c r="K122" s="219"/>
      <c r="L122" s="219"/>
      <c r="M122" s="219"/>
      <c r="N122" s="219"/>
      <c r="O122" s="219"/>
      <c r="P122" s="219"/>
      <c r="Q122" s="219"/>
      <c r="R122" s="219"/>
      <c r="S122" s="219"/>
      <c r="T122" s="219"/>
      <c r="U122" s="101"/>
      <c r="V122" s="101"/>
      <c r="W122" s="101"/>
      <c r="X122" s="101"/>
      <c r="Y122" s="101"/>
    </row>
    <row r="123" spans="1:25">
      <c r="A123" s="206">
        <v>78</v>
      </c>
      <c r="B123" s="36"/>
      <c r="C123" s="85" t="s">
        <v>283</v>
      </c>
      <c r="D123" s="9"/>
      <c r="E123" s="18"/>
      <c r="F123" s="140"/>
      <c r="G123" s="312"/>
      <c r="H123" s="247"/>
      <c r="I123" s="219"/>
      <c r="J123" s="219"/>
      <c r="K123" s="219"/>
      <c r="L123" s="219"/>
      <c r="M123" s="219"/>
      <c r="N123" s="219"/>
      <c r="O123" s="219"/>
      <c r="P123" s="219"/>
      <c r="Q123" s="219"/>
      <c r="R123" s="219"/>
      <c r="S123" s="219"/>
      <c r="T123" s="219"/>
      <c r="U123" s="101"/>
      <c r="V123" s="101"/>
      <c r="W123" s="101"/>
      <c r="X123" s="101"/>
      <c r="Y123" s="101"/>
    </row>
    <row r="124" spans="1:25">
      <c r="A124" s="206">
        <v>79</v>
      </c>
      <c r="B124" s="36"/>
      <c r="C124" s="85"/>
      <c r="D124" s="9"/>
      <c r="E124" s="18"/>
      <c r="F124" s="140"/>
      <c r="G124" s="312"/>
      <c r="H124" s="247"/>
      <c r="I124" s="219"/>
      <c r="J124" s="219"/>
      <c r="K124" s="219"/>
      <c r="L124" s="219"/>
      <c r="M124" s="219"/>
      <c r="N124" s="219"/>
      <c r="O124" s="219"/>
      <c r="P124" s="219"/>
      <c r="Q124" s="219"/>
      <c r="R124" s="219"/>
      <c r="S124" s="219"/>
      <c r="T124" s="219"/>
      <c r="U124" s="101"/>
      <c r="V124" s="101"/>
      <c r="W124" s="101"/>
      <c r="X124" s="101"/>
      <c r="Y124" s="101"/>
    </row>
    <row r="125" spans="1:25">
      <c r="A125" s="206">
        <v>80</v>
      </c>
      <c r="B125" s="36"/>
      <c r="C125" s="85"/>
      <c r="D125" s="9"/>
      <c r="E125" s="18"/>
      <c r="F125" s="140"/>
      <c r="G125" s="312"/>
      <c r="H125" s="247"/>
      <c r="I125" s="219"/>
      <c r="J125" s="219"/>
      <c r="K125" s="219"/>
      <c r="L125" s="219"/>
      <c r="M125" s="219"/>
      <c r="N125" s="219"/>
      <c r="O125" s="219"/>
      <c r="P125" s="219"/>
      <c r="Q125" s="219"/>
      <c r="R125" s="219"/>
      <c r="S125" s="219"/>
      <c r="T125" s="219"/>
      <c r="U125" s="101"/>
      <c r="V125" s="101"/>
      <c r="W125" s="101"/>
      <c r="X125" s="101"/>
      <c r="Y125" s="101"/>
    </row>
    <row r="126" spans="1:25">
      <c r="A126" s="206">
        <v>81</v>
      </c>
      <c r="D126" s="13"/>
      <c r="E126" s="14"/>
      <c r="F126" s="148"/>
      <c r="G126" s="330"/>
      <c r="H126" s="262"/>
      <c r="I126" s="219"/>
      <c r="J126" s="219"/>
      <c r="K126" s="219"/>
      <c r="L126" s="219"/>
      <c r="M126" s="219"/>
      <c r="N126" s="219"/>
      <c r="O126" s="219"/>
      <c r="P126" s="219"/>
      <c r="Q126" s="219"/>
      <c r="R126" s="219"/>
      <c r="S126" s="219"/>
      <c r="T126" s="219"/>
      <c r="U126" s="101"/>
      <c r="V126" s="101"/>
      <c r="W126" s="101"/>
      <c r="X126" s="101"/>
      <c r="Y126" s="101"/>
    </row>
    <row r="127" spans="1:25">
      <c r="A127" s="207">
        <v>82</v>
      </c>
      <c r="B127" s="87" t="s">
        <v>7</v>
      </c>
      <c r="C127" s="51"/>
      <c r="D127" s="51"/>
      <c r="E127" s="49"/>
      <c r="F127" s="144"/>
      <c r="G127" s="320">
        <f>SUM(G104:G126)</f>
        <v>419975.47</v>
      </c>
      <c r="H127" s="250"/>
      <c r="I127" s="219"/>
      <c r="J127" s="219"/>
      <c r="K127" s="219"/>
      <c r="L127" s="219"/>
      <c r="M127" s="219"/>
      <c r="N127" s="219"/>
      <c r="O127" s="219"/>
      <c r="P127" s="219"/>
      <c r="Q127" s="219"/>
      <c r="R127" s="219"/>
      <c r="S127" s="219"/>
      <c r="T127" s="219"/>
      <c r="U127" s="101"/>
      <c r="V127" s="101"/>
      <c r="W127" s="101"/>
      <c r="X127" s="101"/>
      <c r="Y127" s="101"/>
    </row>
    <row r="128" spans="1:25">
      <c r="A128" s="206"/>
      <c r="D128" s="13"/>
      <c r="E128" s="14"/>
      <c r="F128" s="148"/>
      <c r="G128" s="330"/>
      <c r="H128" s="262"/>
      <c r="I128" s="219"/>
      <c r="J128" s="219"/>
      <c r="K128" s="219"/>
      <c r="L128" s="219"/>
      <c r="M128" s="219"/>
      <c r="N128" s="219"/>
      <c r="O128" s="219"/>
      <c r="P128" s="219"/>
      <c r="Q128" s="219"/>
      <c r="R128" s="219"/>
      <c r="S128" s="219"/>
      <c r="T128" s="219"/>
      <c r="U128" s="101"/>
      <c r="V128" s="101"/>
      <c r="W128" s="101"/>
      <c r="X128" s="101"/>
      <c r="Y128" s="101"/>
    </row>
    <row r="129" spans="1:25">
      <c r="A129" s="204"/>
      <c r="B129" s="111" t="s">
        <v>276</v>
      </c>
      <c r="C129" s="112"/>
      <c r="D129" s="113"/>
      <c r="E129" s="61"/>
      <c r="F129" s="139"/>
      <c r="G129" s="317"/>
      <c r="H129" s="246"/>
      <c r="I129" s="219"/>
      <c r="J129" s="219"/>
      <c r="K129" s="219"/>
      <c r="L129" s="219"/>
      <c r="M129" s="219"/>
      <c r="N129" s="219"/>
      <c r="O129" s="219"/>
      <c r="P129" s="219"/>
      <c r="Q129" s="219"/>
      <c r="R129" s="219"/>
      <c r="S129" s="219"/>
      <c r="T129" s="219"/>
      <c r="U129" s="101"/>
      <c r="V129" s="101"/>
      <c r="W129" s="101"/>
      <c r="X129" s="101"/>
      <c r="Y129" s="101"/>
    </row>
    <row r="130" spans="1:25" s="4" customFormat="1" ht="14.25" customHeight="1">
      <c r="A130" s="209"/>
      <c r="B130" s="89" t="s">
        <v>275</v>
      </c>
      <c r="C130" s="110"/>
      <c r="D130" s="110"/>
      <c r="E130" s="77"/>
      <c r="F130" s="151"/>
      <c r="G130" s="333"/>
      <c r="H130" s="265"/>
      <c r="I130" s="226"/>
      <c r="J130" s="226"/>
      <c r="K130" s="226"/>
      <c r="L130" s="226"/>
      <c r="M130" s="226"/>
      <c r="N130" s="226"/>
      <c r="O130" s="226"/>
      <c r="P130" s="226"/>
      <c r="Q130" s="226"/>
      <c r="R130" s="226"/>
      <c r="S130" s="226"/>
      <c r="T130" s="226"/>
      <c r="U130" s="222"/>
      <c r="V130" s="222"/>
      <c r="W130" s="222"/>
      <c r="X130" s="222"/>
      <c r="Y130" s="222"/>
    </row>
    <row r="131" spans="1:25" s="4" customFormat="1" ht="13.5" customHeight="1">
      <c r="A131" s="206"/>
      <c r="B131" s="79"/>
      <c r="C131" s="9" t="s">
        <v>76</v>
      </c>
      <c r="D131" s="20"/>
      <c r="E131" s="61"/>
      <c r="F131" s="139"/>
      <c r="G131" s="317"/>
      <c r="H131" s="246"/>
      <c r="I131" s="226"/>
      <c r="J131" s="226"/>
      <c r="K131" s="226"/>
      <c r="L131" s="226"/>
      <c r="M131" s="226"/>
      <c r="N131" s="226"/>
      <c r="O131" s="226"/>
      <c r="P131" s="226"/>
      <c r="Q131" s="226"/>
      <c r="R131" s="226"/>
      <c r="S131" s="226"/>
      <c r="T131" s="226"/>
      <c r="U131" s="222"/>
      <c r="V131" s="222"/>
      <c r="W131" s="222"/>
      <c r="X131" s="222"/>
      <c r="Y131" s="222"/>
    </row>
    <row r="132" spans="1:25">
      <c r="A132" s="206">
        <v>83</v>
      </c>
      <c r="B132" s="36"/>
      <c r="C132" s="9"/>
      <c r="D132" s="9" t="s">
        <v>117</v>
      </c>
      <c r="E132" s="18">
        <v>112</v>
      </c>
      <c r="F132" s="140" t="s">
        <v>221</v>
      </c>
      <c r="G132" s="312">
        <f>Assumptions!H45</f>
        <v>84000</v>
      </c>
      <c r="H132" s="247" t="s">
        <v>541</v>
      </c>
      <c r="I132" s="219"/>
      <c r="J132" s="219"/>
      <c r="K132" s="219"/>
      <c r="L132" s="219"/>
      <c r="M132" s="219"/>
      <c r="N132" s="219"/>
      <c r="O132" s="219"/>
      <c r="P132" s="219"/>
      <c r="Q132" s="219"/>
      <c r="R132" s="219"/>
      <c r="S132" s="219"/>
      <c r="T132" s="219"/>
      <c r="U132" s="101"/>
      <c r="V132" s="101"/>
      <c r="W132" s="101"/>
      <c r="X132" s="101"/>
      <c r="Y132" s="101"/>
    </row>
    <row r="133" spans="1:25">
      <c r="A133" s="206">
        <v>84</v>
      </c>
      <c r="B133" s="36"/>
      <c r="C133" s="9"/>
      <c r="D133" s="9" t="s">
        <v>78</v>
      </c>
      <c r="E133" s="18">
        <v>115</v>
      </c>
      <c r="F133" s="140" t="s">
        <v>221</v>
      </c>
      <c r="G133" s="312"/>
      <c r="H133" s="247"/>
      <c r="I133" s="219"/>
      <c r="J133" s="219"/>
      <c r="K133" s="219"/>
      <c r="L133" s="219"/>
      <c r="M133" s="219"/>
      <c r="N133" s="219"/>
      <c r="O133" s="219"/>
      <c r="P133" s="219"/>
      <c r="Q133" s="219"/>
      <c r="R133" s="219"/>
      <c r="S133" s="219"/>
      <c r="T133" s="219"/>
      <c r="U133" s="101"/>
      <c r="V133" s="101"/>
      <c r="W133" s="101"/>
      <c r="X133" s="101"/>
      <c r="Y133" s="101"/>
    </row>
    <row r="134" spans="1:25">
      <c r="A134" s="206">
        <v>85</v>
      </c>
      <c r="B134" s="36"/>
      <c r="C134" s="9"/>
      <c r="D134" s="9" t="s">
        <v>81</v>
      </c>
      <c r="E134" s="18">
        <v>123</v>
      </c>
      <c r="F134" s="140" t="s">
        <v>221</v>
      </c>
      <c r="G134" s="312"/>
      <c r="H134" s="247"/>
      <c r="I134" s="219"/>
      <c r="J134" s="219"/>
      <c r="K134" s="219"/>
      <c r="L134" s="219"/>
      <c r="M134" s="219"/>
      <c r="N134" s="219"/>
      <c r="O134" s="219"/>
      <c r="P134" s="219"/>
      <c r="Q134" s="219"/>
      <c r="R134" s="219"/>
      <c r="S134" s="219"/>
      <c r="T134" s="219"/>
      <c r="U134" s="101"/>
      <c r="V134" s="101"/>
      <c r="W134" s="101"/>
      <c r="X134" s="101"/>
      <c r="Y134" s="101"/>
    </row>
    <row r="135" spans="1:25">
      <c r="A135" s="206">
        <v>86</v>
      </c>
      <c r="B135" s="36"/>
      <c r="C135" s="9" t="s">
        <v>83</v>
      </c>
      <c r="D135" s="9"/>
      <c r="E135" s="18" t="s">
        <v>84</v>
      </c>
      <c r="F135" s="140" t="s">
        <v>221</v>
      </c>
      <c r="G135" s="312"/>
      <c r="H135" s="247"/>
      <c r="I135" s="219"/>
      <c r="J135" s="219"/>
      <c r="K135" s="219"/>
      <c r="L135" s="219"/>
      <c r="M135" s="219"/>
      <c r="N135" s="219"/>
      <c r="O135" s="219"/>
      <c r="P135" s="219"/>
      <c r="Q135" s="219"/>
      <c r="R135" s="219"/>
      <c r="S135" s="219"/>
      <c r="T135" s="219"/>
      <c r="U135" s="101"/>
      <c r="V135" s="101"/>
      <c r="W135" s="101"/>
      <c r="X135" s="101"/>
      <c r="Y135" s="101"/>
    </row>
    <row r="136" spans="1:25">
      <c r="A136" s="206">
        <v>87</v>
      </c>
      <c r="B136" s="36"/>
      <c r="C136" s="9" t="s">
        <v>85</v>
      </c>
      <c r="D136" s="9"/>
      <c r="E136" s="18">
        <v>430</v>
      </c>
      <c r="F136" s="140" t="s">
        <v>221</v>
      </c>
      <c r="G136" s="312"/>
      <c r="H136" s="247"/>
      <c r="I136" s="219"/>
      <c r="J136" s="219"/>
      <c r="K136" s="219"/>
      <c r="L136" s="219"/>
      <c r="M136" s="219"/>
      <c r="N136" s="219"/>
      <c r="O136" s="219"/>
      <c r="P136" s="219"/>
      <c r="Q136" s="219"/>
      <c r="R136" s="219"/>
      <c r="S136" s="219"/>
      <c r="T136" s="219"/>
      <c r="U136" s="101"/>
      <c r="V136" s="101"/>
      <c r="W136" s="101"/>
      <c r="X136" s="101"/>
      <c r="Y136" s="101"/>
    </row>
    <row r="137" spans="1:25">
      <c r="A137" s="206">
        <v>88</v>
      </c>
      <c r="B137" s="36"/>
      <c r="C137" s="9" t="s">
        <v>87</v>
      </c>
      <c r="D137" s="9"/>
      <c r="E137" s="18" t="s">
        <v>88</v>
      </c>
      <c r="F137" s="140" t="s">
        <v>221</v>
      </c>
      <c r="G137" s="312"/>
      <c r="H137" s="247"/>
      <c r="I137" s="219"/>
      <c r="J137" s="219"/>
      <c r="K137" s="219"/>
      <c r="L137" s="219"/>
      <c r="M137" s="219"/>
      <c r="N137" s="219"/>
      <c r="O137" s="219"/>
      <c r="P137" s="219"/>
      <c r="Q137" s="219"/>
      <c r="R137" s="219"/>
      <c r="S137" s="219"/>
      <c r="T137" s="219"/>
      <c r="U137" s="101"/>
      <c r="V137" s="101"/>
      <c r="W137" s="101"/>
      <c r="X137" s="101"/>
      <c r="Y137" s="101"/>
    </row>
    <row r="138" spans="1:25">
      <c r="A138" s="206"/>
      <c r="B138" s="36"/>
      <c r="C138" s="9" t="s">
        <v>109</v>
      </c>
      <c r="D138" s="9"/>
      <c r="E138" s="61"/>
      <c r="F138" s="139"/>
      <c r="G138" s="317"/>
      <c r="H138" s="246"/>
      <c r="I138" s="219"/>
      <c r="J138" s="219"/>
      <c r="K138" s="219"/>
      <c r="L138" s="219"/>
      <c r="M138" s="219"/>
      <c r="N138" s="219"/>
      <c r="O138" s="219"/>
      <c r="P138" s="219"/>
      <c r="Q138" s="219"/>
      <c r="R138" s="219"/>
      <c r="S138" s="219"/>
      <c r="T138" s="219"/>
      <c r="U138" s="101"/>
      <c r="V138" s="101"/>
      <c r="W138" s="101"/>
      <c r="X138" s="101"/>
      <c r="Y138" s="101"/>
    </row>
    <row r="139" spans="1:25">
      <c r="A139" s="206">
        <v>89</v>
      </c>
      <c r="B139" s="36"/>
      <c r="C139" s="9"/>
      <c r="D139" s="9" t="s">
        <v>110</v>
      </c>
      <c r="E139" s="18" t="s">
        <v>90</v>
      </c>
      <c r="F139" s="140" t="s">
        <v>221</v>
      </c>
      <c r="G139" s="312">
        <v>10000</v>
      </c>
      <c r="H139" s="247"/>
      <c r="I139" s="219"/>
      <c r="J139" s="219"/>
      <c r="K139" s="219"/>
      <c r="L139" s="219"/>
      <c r="M139" s="219"/>
      <c r="N139" s="219"/>
      <c r="O139" s="219"/>
      <c r="P139" s="219"/>
      <c r="Q139" s="219"/>
      <c r="R139" s="219"/>
      <c r="S139" s="219"/>
      <c r="T139" s="219"/>
      <c r="U139" s="101"/>
      <c r="V139" s="101"/>
      <c r="W139" s="101"/>
      <c r="X139" s="101"/>
      <c r="Y139" s="101"/>
    </row>
    <row r="140" spans="1:25">
      <c r="A140" s="206">
        <v>90</v>
      </c>
      <c r="B140" s="36"/>
      <c r="C140" s="9"/>
      <c r="D140" s="9" t="s">
        <v>91</v>
      </c>
      <c r="E140" s="18" t="s">
        <v>92</v>
      </c>
      <c r="F140" s="140" t="s">
        <v>221</v>
      </c>
      <c r="G140" s="312"/>
      <c r="H140" s="247"/>
      <c r="I140" s="219"/>
      <c r="J140" s="219"/>
      <c r="K140" s="219"/>
      <c r="L140" s="219"/>
      <c r="M140" s="219"/>
      <c r="N140" s="219"/>
      <c r="O140" s="219"/>
      <c r="P140" s="219"/>
      <c r="Q140" s="219"/>
      <c r="R140" s="219"/>
      <c r="S140" s="219"/>
      <c r="T140" s="219"/>
      <c r="U140" s="101"/>
      <c r="V140" s="101"/>
      <c r="W140" s="101"/>
      <c r="X140" s="101"/>
      <c r="Y140" s="101"/>
    </row>
    <row r="141" spans="1:25">
      <c r="A141" s="206">
        <v>91</v>
      </c>
      <c r="B141" s="36"/>
      <c r="C141" s="9" t="s">
        <v>242</v>
      </c>
      <c r="D141" s="9"/>
      <c r="E141" s="18" t="s">
        <v>243</v>
      </c>
      <c r="F141" s="140" t="s">
        <v>221</v>
      </c>
      <c r="G141" s="312"/>
      <c r="H141" s="247"/>
      <c r="I141" s="219"/>
      <c r="J141" s="219"/>
      <c r="K141" s="219"/>
      <c r="L141" s="219"/>
      <c r="M141" s="219"/>
      <c r="N141" s="219"/>
      <c r="O141" s="219"/>
      <c r="P141" s="219"/>
      <c r="Q141" s="219"/>
      <c r="R141" s="219"/>
      <c r="S141" s="219"/>
      <c r="T141" s="219"/>
      <c r="U141" s="101"/>
      <c r="V141" s="101"/>
      <c r="W141" s="101"/>
      <c r="X141" s="101"/>
      <c r="Y141" s="101"/>
    </row>
    <row r="142" spans="1:25">
      <c r="A142" s="206">
        <v>92</v>
      </c>
      <c r="B142" s="36"/>
      <c r="C142" s="9" t="s">
        <v>95</v>
      </c>
      <c r="D142" s="9"/>
      <c r="E142" s="18" t="s">
        <v>96</v>
      </c>
      <c r="F142" s="140" t="s">
        <v>221</v>
      </c>
      <c r="G142" s="312"/>
      <c r="H142" s="247"/>
      <c r="I142" s="219"/>
      <c r="J142" s="219"/>
      <c r="K142" s="219"/>
      <c r="L142" s="219"/>
      <c r="M142" s="219"/>
      <c r="N142" s="219"/>
      <c r="O142" s="219"/>
      <c r="P142" s="219"/>
      <c r="Q142" s="219"/>
      <c r="R142" s="219"/>
      <c r="S142" s="219"/>
      <c r="T142" s="219"/>
      <c r="U142" s="101"/>
      <c r="V142" s="101"/>
      <c r="W142" s="101"/>
      <c r="X142" s="101"/>
      <c r="Y142" s="101"/>
    </row>
    <row r="143" spans="1:25">
      <c r="A143" s="206">
        <v>93</v>
      </c>
      <c r="B143" s="36"/>
      <c r="C143" s="9" t="s">
        <v>295</v>
      </c>
      <c r="D143" s="9"/>
      <c r="E143" s="18" t="s">
        <v>97</v>
      </c>
      <c r="F143" s="140" t="s">
        <v>221</v>
      </c>
      <c r="G143" s="312">
        <f>SUM(Assumptions!H27+Assumptions!H33)*3884</f>
        <v>3884</v>
      </c>
      <c r="H143" s="247" t="s">
        <v>454</v>
      </c>
      <c r="I143" s="219"/>
      <c r="J143" s="219"/>
      <c r="K143" s="219"/>
      <c r="L143" s="219"/>
      <c r="M143" s="219"/>
      <c r="N143" s="219"/>
      <c r="O143" s="219"/>
      <c r="P143" s="219"/>
      <c r="Q143" s="219"/>
      <c r="R143" s="219"/>
      <c r="S143" s="219"/>
      <c r="T143" s="219"/>
      <c r="U143" s="101"/>
      <c r="V143" s="101"/>
      <c r="W143" s="101"/>
      <c r="X143" s="101"/>
      <c r="Y143" s="101"/>
    </row>
    <row r="144" spans="1:25">
      <c r="A144" s="206">
        <v>94</v>
      </c>
      <c r="B144" s="36"/>
      <c r="C144" s="9" t="s">
        <v>98</v>
      </c>
      <c r="D144" s="9"/>
      <c r="E144" s="18" t="s">
        <v>99</v>
      </c>
      <c r="F144" s="140" t="s">
        <v>221</v>
      </c>
      <c r="G144" s="312">
        <f>SUM(G131:G134)*0.062</f>
        <v>5208</v>
      </c>
      <c r="H144" s="367">
        <v>6.2E-2</v>
      </c>
      <c r="I144" s="219"/>
      <c r="J144" s="219"/>
      <c r="K144" s="219"/>
      <c r="L144" s="219"/>
      <c r="M144" s="219"/>
      <c r="N144" s="219"/>
      <c r="O144" s="219"/>
      <c r="P144" s="219"/>
      <c r="Q144" s="219"/>
      <c r="R144" s="219"/>
      <c r="S144" s="219"/>
      <c r="T144" s="219"/>
      <c r="U144" s="101"/>
      <c r="V144" s="101"/>
      <c r="W144" s="101"/>
      <c r="X144" s="101"/>
      <c r="Y144" s="101"/>
    </row>
    <row r="145" spans="1:25">
      <c r="A145" s="206">
        <v>95</v>
      </c>
      <c r="B145" s="36"/>
      <c r="C145" s="9" t="s">
        <v>100</v>
      </c>
      <c r="D145" s="9"/>
      <c r="E145" s="18" t="s">
        <v>101</v>
      </c>
      <c r="F145" s="140" t="s">
        <v>221</v>
      </c>
      <c r="G145" s="312">
        <f>SUM(G131:G134)*0.0145</f>
        <v>1218</v>
      </c>
      <c r="H145" s="367">
        <v>1.4500000000000001E-2</v>
      </c>
      <c r="I145" s="219"/>
      <c r="J145" s="219"/>
      <c r="K145" s="219"/>
      <c r="L145" s="219"/>
      <c r="M145" s="219"/>
      <c r="N145" s="219"/>
      <c r="O145" s="219"/>
      <c r="P145" s="219"/>
      <c r="Q145" s="219"/>
      <c r="R145" s="219"/>
      <c r="S145" s="219"/>
      <c r="T145" s="219"/>
      <c r="U145" s="101"/>
      <c r="V145" s="101"/>
      <c r="W145" s="101"/>
      <c r="X145" s="101"/>
      <c r="Y145" s="101"/>
    </row>
    <row r="146" spans="1:25">
      <c r="A146" s="206">
        <v>96</v>
      </c>
      <c r="B146" s="36"/>
      <c r="C146" s="9" t="s">
        <v>219</v>
      </c>
      <c r="D146" s="9"/>
      <c r="E146" s="18" t="s">
        <v>220</v>
      </c>
      <c r="F146" s="140" t="s">
        <v>221</v>
      </c>
      <c r="G146" s="312">
        <f>SUM(G131:G134)*0.02</f>
        <v>1680</v>
      </c>
      <c r="H146" s="247" t="s">
        <v>526</v>
      </c>
      <c r="I146" s="219"/>
      <c r="J146" s="219"/>
      <c r="K146" s="219"/>
      <c r="L146" s="219"/>
      <c r="M146" s="219"/>
      <c r="N146" s="219"/>
      <c r="O146" s="219"/>
      <c r="P146" s="219"/>
      <c r="Q146" s="219"/>
      <c r="R146" s="219"/>
      <c r="S146" s="219"/>
      <c r="T146" s="219"/>
      <c r="U146" s="101"/>
      <c r="V146" s="101"/>
      <c r="W146" s="101"/>
      <c r="X146" s="101"/>
      <c r="Y146" s="101"/>
    </row>
    <row r="147" spans="1:25">
      <c r="A147" s="206">
        <v>97</v>
      </c>
      <c r="B147" s="36"/>
      <c r="C147" s="9" t="s">
        <v>102</v>
      </c>
      <c r="D147" s="9"/>
      <c r="E147" s="18" t="s">
        <v>103</v>
      </c>
      <c r="F147" s="140" t="s">
        <v>221</v>
      </c>
      <c r="G147" s="312">
        <f>SUM(G131:G134)*0.0098</f>
        <v>823.19999999999993</v>
      </c>
      <c r="H147" s="367">
        <v>9.7999999999999997E-3</v>
      </c>
      <c r="I147" s="219"/>
      <c r="J147" s="219"/>
      <c r="K147" s="219"/>
      <c r="L147" s="219"/>
      <c r="M147" s="219"/>
      <c r="N147" s="219"/>
      <c r="O147" s="219"/>
      <c r="P147" s="219"/>
      <c r="Q147" s="219"/>
      <c r="R147" s="219"/>
      <c r="S147" s="219"/>
      <c r="T147" s="219"/>
      <c r="U147" s="101"/>
      <c r="V147" s="101"/>
      <c r="W147" s="101"/>
      <c r="X147" s="101"/>
      <c r="Y147" s="101"/>
    </row>
    <row r="148" spans="1:25">
      <c r="A148" s="206">
        <v>98</v>
      </c>
      <c r="B148" s="36"/>
      <c r="C148" s="9" t="s">
        <v>104</v>
      </c>
      <c r="D148" s="9"/>
      <c r="E148" s="18" t="s">
        <v>105</v>
      </c>
      <c r="F148" s="140" t="s">
        <v>221</v>
      </c>
      <c r="G148" s="312">
        <f>SUM(G131:G134)*0.0075</f>
        <v>630</v>
      </c>
      <c r="H148" s="367">
        <v>7.4999999999999997E-3</v>
      </c>
      <c r="I148" s="219"/>
      <c r="J148" s="219"/>
      <c r="K148" s="219"/>
      <c r="L148" s="219"/>
      <c r="M148" s="219"/>
      <c r="N148" s="219"/>
      <c r="O148" s="219"/>
      <c r="P148" s="219"/>
      <c r="Q148" s="219"/>
      <c r="R148" s="219"/>
      <c r="S148" s="219"/>
      <c r="T148" s="219"/>
      <c r="U148" s="101"/>
      <c r="V148" s="101"/>
      <c r="W148" s="101"/>
      <c r="X148" s="101"/>
      <c r="Y148" s="101"/>
    </row>
    <row r="149" spans="1:25">
      <c r="A149" s="206">
        <v>99</v>
      </c>
      <c r="B149" s="36"/>
      <c r="C149" s="85" t="s">
        <v>283</v>
      </c>
      <c r="D149" s="9"/>
      <c r="E149" s="18"/>
      <c r="F149" s="140"/>
      <c r="G149" s="312"/>
      <c r="H149" s="247"/>
      <c r="I149" s="219"/>
      <c r="J149" s="219"/>
      <c r="K149" s="219"/>
      <c r="L149" s="219"/>
      <c r="M149" s="219"/>
      <c r="N149" s="219"/>
      <c r="O149" s="219"/>
      <c r="P149" s="219"/>
      <c r="Q149" s="219"/>
      <c r="R149" s="219"/>
      <c r="S149" s="219"/>
      <c r="T149" s="219"/>
      <c r="U149" s="101"/>
      <c r="V149" s="101"/>
      <c r="W149" s="101"/>
      <c r="X149" s="101"/>
      <c r="Y149" s="101"/>
    </row>
    <row r="150" spans="1:25">
      <c r="A150" s="206">
        <v>100</v>
      </c>
      <c r="B150" s="36"/>
      <c r="C150" s="85"/>
      <c r="D150" s="9"/>
      <c r="E150" s="18"/>
      <c r="F150" s="140"/>
      <c r="G150" s="312"/>
      <c r="H150" s="247"/>
      <c r="I150" s="219"/>
      <c r="J150" s="219"/>
      <c r="K150" s="219"/>
      <c r="L150" s="219"/>
      <c r="M150" s="219"/>
      <c r="N150" s="219"/>
      <c r="O150" s="219"/>
      <c r="P150" s="219"/>
      <c r="Q150" s="219"/>
      <c r="R150" s="219"/>
      <c r="S150" s="219"/>
      <c r="T150" s="219"/>
      <c r="U150" s="101"/>
      <c r="V150" s="101"/>
      <c r="W150" s="101"/>
      <c r="X150" s="101"/>
      <c r="Y150" s="101"/>
    </row>
    <row r="151" spans="1:25">
      <c r="A151" s="206">
        <v>101</v>
      </c>
      <c r="B151" s="36"/>
      <c r="C151" s="85"/>
      <c r="D151" s="9"/>
      <c r="E151" s="18"/>
      <c r="F151" s="140"/>
      <c r="G151" s="312"/>
      <c r="H151" s="247"/>
      <c r="I151" s="219"/>
      <c r="J151" s="219"/>
      <c r="K151" s="219"/>
      <c r="L151" s="219"/>
      <c r="M151" s="219"/>
      <c r="N151" s="219"/>
      <c r="O151" s="219"/>
      <c r="P151" s="219"/>
      <c r="Q151" s="219"/>
      <c r="R151" s="219"/>
      <c r="S151" s="219"/>
      <c r="T151" s="219"/>
      <c r="U151" s="101"/>
      <c r="V151" s="101"/>
      <c r="W151" s="101"/>
      <c r="X151" s="101"/>
      <c r="Y151" s="101"/>
    </row>
    <row r="152" spans="1:25" ht="15.75" customHeight="1">
      <c r="A152" s="206">
        <v>102</v>
      </c>
      <c r="B152" s="83"/>
      <c r="D152" s="13"/>
      <c r="E152" s="14"/>
      <c r="F152" s="148"/>
      <c r="G152" s="330"/>
      <c r="H152" s="262"/>
      <c r="I152" s="219"/>
      <c r="J152" s="219"/>
      <c r="K152" s="219"/>
      <c r="L152" s="219"/>
      <c r="M152" s="219"/>
      <c r="N152" s="219"/>
      <c r="O152" s="219"/>
      <c r="P152" s="219"/>
      <c r="Q152" s="219"/>
      <c r="R152" s="219"/>
      <c r="S152" s="219"/>
      <c r="T152" s="219"/>
      <c r="U152" s="101"/>
      <c r="V152" s="101"/>
      <c r="W152" s="101"/>
      <c r="X152" s="101"/>
      <c r="Y152" s="101"/>
    </row>
    <row r="153" spans="1:25" ht="15" thickBot="1">
      <c r="A153" s="207">
        <v>103</v>
      </c>
      <c r="B153" s="87" t="s">
        <v>19</v>
      </c>
      <c r="C153" s="51"/>
      <c r="D153" s="51"/>
      <c r="E153" s="49"/>
      <c r="F153" s="144"/>
      <c r="G153" s="320">
        <f>SUM(G131:G152)</f>
        <v>107443.2</v>
      </c>
      <c r="H153" s="250"/>
      <c r="I153" s="219"/>
      <c r="J153" s="219"/>
      <c r="K153" s="219"/>
      <c r="L153" s="219"/>
      <c r="M153" s="219"/>
      <c r="N153" s="219"/>
      <c r="O153" s="219"/>
      <c r="P153" s="219"/>
      <c r="Q153" s="219"/>
      <c r="R153" s="219"/>
      <c r="S153" s="219"/>
      <c r="T153" s="219"/>
      <c r="U153" s="101"/>
      <c r="V153" s="101"/>
      <c r="W153" s="101"/>
      <c r="X153" s="101"/>
      <c r="Y153" s="101"/>
    </row>
    <row r="154" spans="1:25" ht="15" thickBot="1">
      <c r="A154" s="210">
        <v>104</v>
      </c>
      <c r="B154" s="75" t="s">
        <v>24</v>
      </c>
      <c r="C154" s="76"/>
      <c r="D154" s="76"/>
      <c r="E154" s="45"/>
      <c r="F154" s="147"/>
      <c r="G154" s="327">
        <f>+G100+G127+G153</f>
        <v>1637401.0075999999</v>
      </c>
      <c r="H154" s="266"/>
      <c r="I154" s="219"/>
      <c r="J154" s="219"/>
      <c r="K154" s="219"/>
      <c r="L154" s="219"/>
      <c r="M154" s="219"/>
      <c r="N154" s="219"/>
      <c r="O154" s="219"/>
      <c r="P154" s="219"/>
      <c r="Q154" s="219"/>
      <c r="R154" s="219"/>
      <c r="S154" s="219"/>
      <c r="T154" s="219"/>
      <c r="U154" s="101"/>
      <c r="V154" s="101"/>
      <c r="W154" s="101"/>
      <c r="X154" s="101"/>
      <c r="Y154" s="101"/>
    </row>
    <row r="155" spans="1:25" ht="4.5" customHeight="1">
      <c r="A155" s="211"/>
      <c r="B155" s="35"/>
      <c r="C155" s="12"/>
      <c r="D155" s="12"/>
      <c r="E155" s="16"/>
      <c r="F155" s="152"/>
      <c r="G155" s="334"/>
      <c r="H155" s="267"/>
      <c r="I155" s="219"/>
      <c r="J155" s="219"/>
      <c r="K155" s="219"/>
      <c r="L155" s="219"/>
      <c r="M155" s="219"/>
      <c r="N155" s="219"/>
      <c r="O155" s="219"/>
      <c r="P155" s="219"/>
      <c r="Q155" s="219"/>
      <c r="R155" s="219"/>
      <c r="S155" s="219"/>
      <c r="T155" s="219"/>
      <c r="U155" s="101"/>
      <c r="V155" s="101"/>
      <c r="W155" s="101"/>
      <c r="X155" s="101"/>
      <c r="Y155" s="101"/>
    </row>
    <row r="156" spans="1:25" s="4" customFormat="1">
      <c r="A156" s="206"/>
      <c r="B156" s="52" t="s">
        <v>22</v>
      </c>
      <c r="C156" s="53"/>
      <c r="D156" s="53"/>
      <c r="E156" s="61"/>
      <c r="F156" s="139"/>
      <c r="G156" s="317"/>
      <c r="H156" s="246"/>
      <c r="I156" s="219"/>
      <c r="J156" s="219"/>
      <c r="K156" s="219"/>
      <c r="L156" s="219"/>
      <c r="M156" s="219"/>
      <c r="N156" s="219"/>
      <c r="O156" s="219"/>
      <c r="P156" s="219"/>
      <c r="Q156" s="219"/>
      <c r="R156" s="219"/>
      <c r="S156" s="219"/>
      <c r="T156" s="219"/>
      <c r="U156" s="222"/>
      <c r="V156" s="222"/>
      <c r="W156" s="222"/>
      <c r="X156" s="222"/>
      <c r="Y156" s="222"/>
    </row>
    <row r="157" spans="1:25" s="4" customFormat="1">
      <c r="A157" s="206"/>
      <c r="B157" s="88" t="s">
        <v>23</v>
      </c>
      <c r="C157" s="53"/>
      <c r="D157" s="53"/>
      <c r="E157" s="61"/>
      <c r="F157" s="139"/>
      <c r="G157" s="317"/>
      <c r="H157" s="246"/>
      <c r="I157" s="219"/>
      <c r="J157" s="219"/>
      <c r="K157" s="219"/>
      <c r="L157" s="219"/>
      <c r="M157" s="219"/>
      <c r="N157" s="219"/>
      <c r="O157" s="219"/>
      <c r="P157" s="219"/>
      <c r="Q157" s="219"/>
      <c r="R157" s="219"/>
      <c r="S157" s="219"/>
      <c r="T157" s="219"/>
      <c r="U157" s="222"/>
      <c r="V157" s="222"/>
      <c r="W157" s="222"/>
      <c r="X157" s="222"/>
      <c r="Y157" s="222"/>
    </row>
    <row r="158" spans="1:25">
      <c r="A158" s="206">
        <v>105</v>
      </c>
      <c r="B158" s="36"/>
      <c r="C158" s="9" t="s">
        <v>281</v>
      </c>
      <c r="D158" s="9"/>
      <c r="E158" s="18" t="s">
        <v>221</v>
      </c>
      <c r="F158" s="140" t="s">
        <v>240</v>
      </c>
      <c r="G158" s="312">
        <f>SUM('Assumptions Expenses'!D13)*'Assumptions Expenses'!C13</f>
        <v>52000</v>
      </c>
      <c r="H158" s="247" t="s">
        <v>463</v>
      </c>
      <c r="I158" s="219"/>
      <c r="J158" s="219"/>
      <c r="K158" s="219"/>
      <c r="L158" s="219"/>
      <c r="M158" s="219"/>
      <c r="N158" s="219"/>
      <c r="O158" s="219"/>
      <c r="P158" s="219"/>
      <c r="Q158" s="219"/>
      <c r="R158" s="219"/>
      <c r="S158" s="219"/>
      <c r="T158" s="219"/>
      <c r="U158" s="101"/>
      <c r="V158" s="101"/>
      <c r="W158" s="101"/>
      <c r="X158" s="101"/>
      <c r="Y158" s="101"/>
    </row>
    <row r="159" spans="1:25">
      <c r="A159" s="206">
        <v>106</v>
      </c>
      <c r="B159" s="36"/>
      <c r="C159" s="9" t="s">
        <v>8</v>
      </c>
      <c r="D159" s="9"/>
      <c r="E159" s="18" t="s">
        <v>221</v>
      </c>
      <c r="F159" s="140" t="s">
        <v>240</v>
      </c>
      <c r="G159" s="312">
        <f>SUM('Assumptions Expenses'!D14)*'Assumptions Expenses'!C14</f>
        <v>55000</v>
      </c>
      <c r="H159" s="247" t="s">
        <v>464</v>
      </c>
      <c r="I159" s="219"/>
      <c r="J159" s="219"/>
      <c r="K159" s="219"/>
      <c r="L159" s="219"/>
      <c r="M159" s="219"/>
      <c r="N159" s="219"/>
      <c r="O159" s="219"/>
      <c r="P159" s="219"/>
      <c r="Q159" s="219"/>
      <c r="R159" s="219"/>
      <c r="S159" s="219"/>
      <c r="T159" s="219"/>
      <c r="U159" s="101"/>
      <c r="V159" s="101"/>
      <c r="W159" s="101"/>
      <c r="X159" s="101"/>
      <c r="Y159" s="101"/>
    </row>
    <row r="160" spans="1:25">
      <c r="A160" s="206">
        <v>107</v>
      </c>
      <c r="B160" s="36"/>
      <c r="C160" s="9" t="s">
        <v>282</v>
      </c>
      <c r="D160" s="9"/>
      <c r="E160" s="18" t="s">
        <v>221</v>
      </c>
      <c r="F160" s="140" t="s">
        <v>240</v>
      </c>
      <c r="G160" s="312">
        <f>SUM('Assumptions Expenses'!D15)*'Assumptions Expenses'!C15</f>
        <v>56106</v>
      </c>
      <c r="H160" s="247" t="s">
        <v>465</v>
      </c>
      <c r="I160" s="219"/>
      <c r="J160" s="219"/>
      <c r="K160" s="219"/>
      <c r="L160" s="219"/>
      <c r="M160" s="219"/>
      <c r="N160" s="219"/>
      <c r="O160" s="219"/>
      <c r="P160" s="219"/>
      <c r="Q160" s="219"/>
      <c r="R160" s="219"/>
      <c r="S160" s="219"/>
      <c r="T160" s="219"/>
      <c r="U160" s="101"/>
      <c r="V160" s="101"/>
      <c r="W160" s="101"/>
      <c r="X160" s="101"/>
      <c r="Y160" s="101"/>
    </row>
    <row r="161" spans="1:25">
      <c r="A161" s="206">
        <v>108</v>
      </c>
      <c r="B161" s="36"/>
      <c r="C161" s="9" t="s">
        <v>120</v>
      </c>
      <c r="D161" s="9"/>
      <c r="E161" s="18" t="s">
        <v>221</v>
      </c>
      <c r="F161" s="140" t="s">
        <v>240</v>
      </c>
      <c r="G161" s="312">
        <f>SUM('Assumptions Expenses'!D16)*'Assumptions Expenses'!C16</f>
        <v>71812</v>
      </c>
      <c r="H161" s="247" t="s">
        <v>466</v>
      </c>
      <c r="I161" s="219"/>
      <c r="J161" s="219"/>
      <c r="K161" s="219"/>
      <c r="L161" s="219"/>
      <c r="M161" s="219"/>
      <c r="N161" s="219"/>
      <c r="O161" s="219"/>
      <c r="P161" s="219"/>
      <c r="Q161" s="219"/>
      <c r="R161" s="219"/>
      <c r="S161" s="219"/>
      <c r="T161" s="219"/>
      <c r="U161" s="101"/>
      <c r="V161" s="101"/>
      <c r="W161" s="101"/>
      <c r="X161" s="101"/>
      <c r="Y161" s="101"/>
    </row>
    <row r="162" spans="1:25">
      <c r="A162" s="206">
        <v>109</v>
      </c>
      <c r="B162" s="36"/>
      <c r="C162" s="9" t="s">
        <v>295</v>
      </c>
      <c r="D162" s="9"/>
      <c r="E162" s="18" t="s">
        <v>97</v>
      </c>
      <c r="F162" s="140" t="s">
        <v>240</v>
      </c>
      <c r="G162" s="312">
        <f>SUM('Assumptions Expenses'!D13:D16)*3884</f>
        <v>15536</v>
      </c>
      <c r="H162" s="247" t="s">
        <v>467</v>
      </c>
      <c r="I162" s="219"/>
      <c r="J162" s="219"/>
      <c r="K162" s="219"/>
      <c r="L162" s="219"/>
      <c r="M162" s="219"/>
      <c r="N162" s="219"/>
      <c r="O162" s="219"/>
      <c r="P162" s="219"/>
      <c r="Q162" s="219"/>
      <c r="R162" s="219"/>
      <c r="S162" s="219"/>
      <c r="T162" s="219"/>
      <c r="U162" s="101"/>
      <c r="V162" s="101"/>
      <c r="W162" s="101"/>
      <c r="X162" s="101"/>
      <c r="Y162" s="101"/>
    </row>
    <row r="163" spans="1:25">
      <c r="A163" s="206">
        <v>110</v>
      </c>
      <c r="B163" s="36"/>
      <c r="C163" s="9" t="s">
        <v>98</v>
      </c>
      <c r="D163" s="9"/>
      <c r="E163" s="18" t="s">
        <v>99</v>
      </c>
      <c r="F163" s="140" t="s">
        <v>240</v>
      </c>
      <c r="G163" s="312">
        <f>SUM(G158:G161)*0.062</f>
        <v>14564.915999999999</v>
      </c>
      <c r="H163" s="367">
        <v>6.2E-2</v>
      </c>
      <c r="I163" s="219"/>
      <c r="J163" s="219"/>
      <c r="K163" s="219"/>
      <c r="L163" s="219"/>
      <c r="M163" s="219"/>
      <c r="N163" s="219"/>
      <c r="O163" s="219"/>
      <c r="P163" s="219"/>
      <c r="Q163" s="219"/>
      <c r="R163" s="219"/>
      <c r="S163" s="219"/>
      <c r="T163" s="219"/>
      <c r="U163" s="101"/>
      <c r="V163" s="101"/>
      <c r="W163" s="101"/>
      <c r="X163" s="101"/>
      <c r="Y163" s="101"/>
    </row>
    <row r="164" spans="1:25">
      <c r="A164" s="206">
        <v>111</v>
      </c>
      <c r="B164" s="36"/>
      <c r="C164" s="9" t="s">
        <v>100</v>
      </c>
      <c r="D164" s="9"/>
      <c r="E164" s="18" t="s">
        <v>101</v>
      </c>
      <c r="F164" s="140" t="s">
        <v>240</v>
      </c>
      <c r="G164" s="312">
        <f>SUM(G158:G161)*0.0145</f>
        <v>3406.3110000000001</v>
      </c>
      <c r="H164" s="367">
        <v>1.4500000000000001E-2</v>
      </c>
      <c r="I164" s="219"/>
      <c r="J164" s="219"/>
      <c r="K164" s="219"/>
      <c r="L164" s="219"/>
      <c r="M164" s="219"/>
      <c r="N164" s="219"/>
      <c r="O164" s="219"/>
      <c r="P164" s="219"/>
      <c r="Q164" s="219"/>
      <c r="R164" s="219"/>
      <c r="S164" s="219"/>
      <c r="T164" s="219"/>
      <c r="U164" s="101"/>
      <c r="V164" s="101"/>
      <c r="W164" s="101"/>
      <c r="X164" s="101"/>
      <c r="Y164" s="101"/>
    </row>
    <row r="165" spans="1:25">
      <c r="A165" s="206">
        <v>112</v>
      </c>
      <c r="B165" s="36"/>
      <c r="C165" s="9" t="s">
        <v>219</v>
      </c>
      <c r="D165" s="9"/>
      <c r="E165" s="18" t="s">
        <v>220</v>
      </c>
      <c r="F165" s="140" t="s">
        <v>240</v>
      </c>
      <c r="G165" s="312">
        <f>SUM(G158:G161)*0.02</f>
        <v>4698.3599999999997</v>
      </c>
      <c r="H165" s="247" t="s">
        <v>526</v>
      </c>
      <c r="I165" s="219"/>
      <c r="J165" s="219"/>
      <c r="K165" s="219"/>
      <c r="L165" s="219"/>
      <c r="M165" s="219"/>
      <c r="N165" s="219"/>
      <c r="O165" s="219"/>
      <c r="P165" s="219"/>
      <c r="Q165" s="219"/>
      <c r="R165" s="219"/>
      <c r="S165" s="219"/>
      <c r="T165" s="219"/>
      <c r="U165" s="101"/>
      <c r="V165" s="101"/>
      <c r="W165" s="101"/>
      <c r="X165" s="101"/>
      <c r="Y165" s="101"/>
    </row>
    <row r="166" spans="1:25">
      <c r="A166" s="206">
        <v>113</v>
      </c>
      <c r="B166" s="36"/>
      <c r="C166" s="9" t="s">
        <v>102</v>
      </c>
      <c r="D166" s="9"/>
      <c r="E166" s="18" t="s">
        <v>103</v>
      </c>
      <c r="F166" s="140" t="s">
        <v>240</v>
      </c>
      <c r="G166" s="312">
        <f>SUM(G158:G161)*0.0098</f>
        <v>2302.1963999999998</v>
      </c>
      <c r="H166" s="367">
        <v>9.7999999999999997E-3</v>
      </c>
      <c r="I166" s="219"/>
      <c r="J166" s="219"/>
      <c r="K166" s="219"/>
      <c r="L166" s="219"/>
      <c r="M166" s="219"/>
      <c r="N166" s="219"/>
      <c r="O166" s="219"/>
      <c r="P166" s="219"/>
      <c r="Q166" s="219"/>
      <c r="R166" s="219"/>
      <c r="S166" s="219"/>
      <c r="T166" s="219"/>
      <c r="U166" s="101"/>
      <c r="V166" s="101"/>
      <c r="W166" s="101"/>
      <c r="X166" s="101"/>
      <c r="Y166" s="101"/>
    </row>
    <row r="167" spans="1:25">
      <c r="A167" s="206">
        <v>114</v>
      </c>
      <c r="B167" s="36"/>
      <c r="C167" s="9" t="s">
        <v>104</v>
      </c>
      <c r="D167" s="9"/>
      <c r="E167" s="18" t="s">
        <v>105</v>
      </c>
      <c r="F167" s="140" t="s">
        <v>240</v>
      </c>
      <c r="G167" s="312">
        <f>SUM(G158:G161)*0.0075</f>
        <v>1761.885</v>
      </c>
      <c r="H167" s="367">
        <v>7.4999999999999997E-3</v>
      </c>
      <c r="I167" s="219"/>
      <c r="J167" s="219"/>
      <c r="K167" s="219"/>
      <c r="L167" s="219"/>
      <c r="M167" s="219"/>
      <c r="N167" s="219"/>
      <c r="O167" s="219"/>
      <c r="P167" s="219"/>
      <c r="Q167" s="219"/>
      <c r="R167" s="219"/>
      <c r="S167" s="219"/>
      <c r="T167" s="219"/>
      <c r="U167" s="101"/>
      <c r="V167" s="101"/>
      <c r="W167" s="101"/>
      <c r="X167" s="101"/>
      <c r="Y167" s="101"/>
    </row>
    <row r="168" spans="1:25">
      <c r="A168" s="206">
        <v>115</v>
      </c>
      <c r="B168" s="36"/>
      <c r="C168" s="85" t="s">
        <v>283</v>
      </c>
      <c r="D168" s="9"/>
      <c r="E168" s="18"/>
      <c r="F168" s="140"/>
      <c r="G168" s="312"/>
      <c r="H168" s="247"/>
      <c r="I168" s="219"/>
      <c r="J168" s="219"/>
      <c r="K168" s="219"/>
      <c r="L168" s="219"/>
      <c r="M168" s="219"/>
      <c r="N168" s="219"/>
      <c r="O168" s="219"/>
      <c r="P168" s="219"/>
      <c r="Q168" s="219"/>
      <c r="R168" s="219"/>
      <c r="S168" s="219"/>
      <c r="T168" s="219"/>
      <c r="U168" s="101"/>
      <c r="V168" s="101"/>
      <c r="W168" s="101"/>
      <c r="X168" s="101"/>
      <c r="Y168" s="101"/>
    </row>
    <row r="169" spans="1:25">
      <c r="A169" s="206">
        <v>116</v>
      </c>
      <c r="B169" s="36"/>
      <c r="C169" s="85"/>
      <c r="D169" s="9"/>
      <c r="E169" s="18"/>
      <c r="F169" s="140"/>
      <c r="G169" s="312"/>
      <c r="H169" s="247"/>
      <c r="I169" s="219"/>
      <c r="J169" s="219"/>
      <c r="K169" s="219"/>
      <c r="L169" s="219"/>
      <c r="M169" s="219"/>
      <c r="N169" s="219"/>
      <c r="O169" s="219"/>
      <c r="P169" s="219"/>
      <c r="Q169" s="219"/>
      <c r="R169" s="219"/>
      <c r="S169" s="219"/>
      <c r="T169" s="219"/>
      <c r="U169" s="101"/>
      <c r="V169" s="101"/>
      <c r="W169" s="101"/>
      <c r="X169" s="101"/>
      <c r="Y169" s="101"/>
    </row>
    <row r="170" spans="1:25">
      <c r="A170" s="206">
        <v>117</v>
      </c>
      <c r="B170" s="83"/>
      <c r="C170" s="84"/>
      <c r="D170" s="13"/>
      <c r="E170" s="14"/>
      <c r="F170" s="148"/>
      <c r="G170" s="330"/>
      <c r="H170" s="262"/>
      <c r="I170" s="219"/>
      <c r="J170" s="219"/>
      <c r="K170" s="219"/>
      <c r="L170" s="219"/>
      <c r="M170" s="219"/>
      <c r="N170" s="219"/>
      <c r="O170" s="219"/>
      <c r="P170" s="219"/>
      <c r="Q170" s="219"/>
      <c r="R170" s="219"/>
      <c r="S170" s="219"/>
      <c r="T170" s="219"/>
      <c r="U170" s="101"/>
      <c r="V170" s="101"/>
      <c r="W170" s="101"/>
      <c r="X170" s="101"/>
      <c r="Y170" s="101"/>
    </row>
    <row r="171" spans="1:25">
      <c r="A171" s="207">
        <v>118</v>
      </c>
      <c r="B171" s="87" t="s">
        <v>121</v>
      </c>
      <c r="C171" s="51"/>
      <c r="D171" s="51"/>
      <c r="E171" s="49"/>
      <c r="F171" s="144"/>
      <c r="G171" s="320">
        <f>SUM(G158:G170)</f>
        <v>277187.66840000002</v>
      </c>
      <c r="H171" s="250"/>
      <c r="I171" s="219"/>
      <c r="J171" s="219"/>
      <c r="K171" s="219"/>
      <c r="L171" s="219"/>
      <c r="M171" s="219"/>
      <c r="N171" s="219"/>
      <c r="O171" s="219"/>
      <c r="P171" s="219"/>
      <c r="Q171" s="219"/>
      <c r="R171" s="219"/>
      <c r="S171" s="219"/>
      <c r="T171" s="219"/>
      <c r="U171" s="101"/>
      <c r="V171" s="101"/>
      <c r="W171" s="101"/>
      <c r="X171" s="101"/>
      <c r="Y171" s="101"/>
    </row>
    <row r="172" spans="1:25" ht="9" customHeight="1">
      <c r="A172" s="211"/>
      <c r="B172" s="35"/>
      <c r="C172" s="12"/>
      <c r="D172" s="12"/>
      <c r="E172" s="16"/>
      <c r="F172" s="152"/>
      <c r="G172" s="334"/>
      <c r="H172" s="267"/>
      <c r="I172" s="219"/>
      <c r="J172" s="219"/>
      <c r="K172" s="219"/>
      <c r="L172" s="219"/>
      <c r="M172" s="219"/>
      <c r="N172" s="219"/>
      <c r="O172" s="219"/>
      <c r="P172" s="219"/>
      <c r="Q172" s="219"/>
      <c r="R172" s="219"/>
      <c r="S172" s="219"/>
      <c r="T172" s="219"/>
      <c r="U172" s="101"/>
      <c r="V172" s="101"/>
      <c r="W172" s="101"/>
      <c r="X172" s="101"/>
      <c r="Y172" s="101"/>
    </row>
    <row r="173" spans="1:25" s="4" customFormat="1">
      <c r="A173" s="206"/>
      <c r="B173" s="88" t="s">
        <v>25</v>
      </c>
      <c r="C173" s="53"/>
      <c r="D173" s="53"/>
      <c r="E173" s="61"/>
      <c r="F173" s="139"/>
      <c r="G173" s="317"/>
      <c r="H173" s="246"/>
      <c r="I173" s="219"/>
      <c r="J173" s="219"/>
      <c r="K173" s="219"/>
      <c r="L173" s="219"/>
      <c r="M173" s="219"/>
      <c r="N173" s="219"/>
      <c r="O173" s="219"/>
      <c r="P173" s="219"/>
      <c r="Q173" s="219"/>
      <c r="R173" s="219"/>
      <c r="S173" s="219"/>
      <c r="T173" s="219"/>
      <c r="U173" s="222"/>
      <c r="V173" s="222"/>
      <c r="W173" s="222"/>
      <c r="X173" s="222"/>
      <c r="Y173" s="222"/>
    </row>
    <row r="174" spans="1:25">
      <c r="A174" s="206">
        <v>119</v>
      </c>
      <c r="B174" s="36"/>
      <c r="C174" s="9" t="s">
        <v>241</v>
      </c>
      <c r="D174" s="9"/>
      <c r="E174" s="18">
        <v>111</v>
      </c>
      <c r="F174" s="140" t="s">
        <v>265</v>
      </c>
      <c r="G174" s="312">
        <f>SUM('Assumptions Expenses'!D19)*'Assumptions Expenses'!C19</f>
        <v>87000</v>
      </c>
      <c r="H174" s="247" t="s">
        <v>540</v>
      </c>
      <c r="I174" s="219"/>
      <c r="J174" s="219"/>
      <c r="K174" s="219"/>
      <c r="L174" s="219"/>
      <c r="M174" s="219"/>
      <c r="N174" s="219"/>
      <c r="O174" s="219"/>
      <c r="P174" s="219"/>
      <c r="Q174" s="219"/>
      <c r="R174" s="219"/>
      <c r="S174" s="219"/>
      <c r="T174" s="219"/>
      <c r="U174" s="101"/>
      <c r="V174" s="101"/>
      <c r="W174" s="101"/>
      <c r="X174" s="101"/>
      <c r="Y174" s="101"/>
    </row>
    <row r="175" spans="1:25">
      <c r="A175" s="206">
        <v>120</v>
      </c>
      <c r="B175" s="36"/>
      <c r="C175" s="9" t="s">
        <v>122</v>
      </c>
      <c r="D175" s="9"/>
      <c r="E175" s="18" t="s">
        <v>221</v>
      </c>
      <c r="F175" s="140" t="s">
        <v>265</v>
      </c>
      <c r="G175" s="312">
        <f>SUM('Assumptions Expenses'!D20)*'Assumptions Expenses'!C20</f>
        <v>105000</v>
      </c>
      <c r="H175" s="247" t="s">
        <v>551</v>
      </c>
      <c r="I175" s="219"/>
      <c r="J175" s="219"/>
      <c r="K175" s="219"/>
      <c r="L175" s="219"/>
      <c r="M175" s="219"/>
      <c r="N175" s="219"/>
      <c r="O175" s="219"/>
      <c r="P175" s="219"/>
      <c r="Q175" s="219"/>
      <c r="R175" s="219"/>
      <c r="S175" s="219"/>
      <c r="T175" s="219"/>
      <c r="U175" s="101"/>
      <c r="V175" s="101"/>
      <c r="W175" s="101"/>
      <c r="X175" s="101"/>
      <c r="Y175" s="101"/>
    </row>
    <row r="176" spans="1:25">
      <c r="A176" s="206">
        <v>121</v>
      </c>
      <c r="B176" s="36"/>
      <c r="C176" s="9" t="s">
        <v>266</v>
      </c>
      <c r="D176" s="9"/>
      <c r="E176" s="18" t="s">
        <v>224</v>
      </c>
      <c r="F176" s="140" t="s">
        <v>265</v>
      </c>
      <c r="G176" s="312"/>
      <c r="H176" s="247"/>
      <c r="I176" s="219"/>
      <c r="J176" s="219"/>
      <c r="K176" s="219"/>
      <c r="L176" s="219"/>
      <c r="M176" s="219"/>
      <c r="N176" s="219"/>
      <c r="O176" s="219"/>
      <c r="P176" s="219"/>
      <c r="Q176" s="219"/>
      <c r="R176" s="219"/>
      <c r="S176" s="219"/>
      <c r="T176" s="219"/>
      <c r="U176" s="101"/>
      <c r="V176" s="101"/>
      <c r="W176" s="101"/>
      <c r="X176" s="101"/>
      <c r="Y176" s="101"/>
    </row>
    <row r="177" spans="1:25">
      <c r="A177" s="206">
        <v>122</v>
      </c>
      <c r="B177" s="36"/>
      <c r="C177" s="9" t="s">
        <v>123</v>
      </c>
      <c r="D177" s="9"/>
      <c r="E177" s="18" t="s">
        <v>221</v>
      </c>
      <c r="F177" s="140">
        <v>2230</v>
      </c>
      <c r="G177" s="312"/>
      <c r="H177" s="247"/>
      <c r="I177" s="219"/>
      <c r="J177" s="219"/>
      <c r="K177" s="219"/>
      <c r="L177" s="219"/>
      <c r="M177" s="219"/>
      <c r="N177" s="219"/>
      <c r="O177" s="219"/>
      <c r="P177" s="219"/>
      <c r="Q177" s="219"/>
      <c r="R177" s="219"/>
      <c r="S177" s="219"/>
      <c r="T177" s="219"/>
      <c r="U177" s="101"/>
      <c r="V177" s="101"/>
      <c r="W177" s="101"/>
      <c r="X177" s="101"/>
      <c r="Y177" s="101"/>
    </row>
    <row r="178" spans="1:25">
      <c r="A178" s="206">
        <v>123</v>
      </c>
      <c r="B178" s="36"/>
      <c r="C178" s="9" t="s">
        <v>124</v>
      </c>
      <c r="D178" s="9"/>
      <c r="E178" s="18" t="s">
        <v>221</v>
      </c>
      <c r="F178" s="140" t="s">
        <v>265</v>
      </c>
      <c r="G178" s="312">
        <f>10000+4500</f>
        <v>14500</v>
      </c>
      <c r="H178" s="247"/>
      <c r="I178" s="219"/>
      <c r="J178" s="219"/>
      <c r="K178" s="219"/>
      <c r="L178" s="219"/>
      <c r="M178" s="219"/>
      <c r="N178" s="219"/>
      <c r="O178" s="219"/>
      <c r="P178" s="219"/>
      <c r="Q178" s="219"/>
      <c r="R178" s="219"/>
      <c r="S178" s="219"/>
      <c r="T178" s="219"/>
      <c r="U178" s="101"/>
      <c r="V178" s="101"/>
      <c r="W178" s="101"/>
      <c r="X178" s="101"/>
      <c r="Y178" s="101"/>
    </row>
    <row r="179" spans="1:25">
      <c r="A179" s="206">
        <v>124</v>
      </c>
      <c r="B179" s="36"/>
      <c r="C179" s="9" t="s">
        <v>295</v>
      </c>
      <c r="D179" s="9"/>
      <c r="E179" s="18" t="s">
        <v>97</v>
      </c>
      <c r="F179" s="140" t="s">
        <v>265</v>
      </c>
      <c r="G179" s="312">
        <f>SUM('Assumptions Expenses'!D19:D20)*3884</f>
        <v>11652</v>
      </c>
      <c r="H179" s="247" t="s">
        <v>467</v>
      </c>
      <c r="I179" s="219"/>
      <c r="J179" s="219"/>
      <c r="K179" s="219"/>
      <c r="L179" s="219"/>
      <c r="M179" s="219"/>
      <c r="N179" s="219"/>
      <c r="O179" s="219"/>
      <c r="P179" s="219"/>
      <c r="Q179" s="219"/>
      <c r="R179" s="219"/>
      <c r="S179" s="219"/>
      <c r="T179" s="219"/>
      <c r="U179" s="101"/>
      <c r="V179" s="101"/>
      <c r="W179" s="101"/>
      <c r="X179" s="101"/>
      <c r="Y179" s="101"/>
    </row>
    <row r="180" spans="1:25">
      <c r="A180" s="206">
        <v>125</v>
      </c>
      <c r="B180" s="36"/>
      <c r="C180" s="9" t="s">
        <v>98</v>
      </c>
      <c r="D180" s="9"/>
      <c r="E180" s="18" t="s">
        <v>99</v>
      </c>
      <c r="F180" s="140" t="s">
        <v>265</v>
      </c>
      <c r="G180" s="312">
        <f>SUM(G$174:G$175)*0.062</f>
        <v>11904</v>
      </c>
      <c r="H180" s="367">
        <v>6.2E-2</v>
      </c>
      <c r="I180" s="219"/>
      <c r="J180" s="219"/>
      <c r="K180" s="219"/>
      <c r="L180" s="219"/>
      <c r="M180" s="219"/>
      <c r="N180" s="219"/>
      <c r="O180" s="219"/>
      <c r="P180" s="219"/>
      <c r="Q180" s="219"/>
      <c r="R180" s="219"/>
      <c r="S180" s="219"/>
      <c r="T180" s="219"/>
      <c r="U180" s="101"/>
      <c r="V180" s="101"/>
      <c r="W180" s="101"/>
      <c r="X180" s="101"/>
      <c r="Y180" s="101"/>
    </row>
    <row r="181" spans="1:25">
      <c r="A181" s="206">
        <v>126</v>
      </c>
      <c r="B181" s="36"/>
      <c r="C181" s="9" t="s">
        <v>100</v>
      </c>
      <c r="D181" s="9"/>
      <c r="E181" s="18" t="s">
        <v>101</v>
      </c>
      <c r="F181" s="140" t="s">
        <v>265</v>
      </c>
      <c r="G181" s="312">
        <f>SUM(G$174:G$175)*0.0145</f>
        <v>2784</v>
      </c>
      <c r="H181" s="367">
        <v>1.4500000000000001E-2</v>
      </c>
      <c r="I181" s="219"/>
      <c r="J181" s="219"/>
      <c r="K181" s="219"/>
      <c r="L181" s="219"/>
      <c r="M181" s="219"/>
      <c r="N181" s="219"/>
      <c r="O181" s="219"/>
      <c r="P181" s="219"/>
      <c r="Q181" s="219"/>
      <c r="R181" s="219"/>
      <c r="S181" s="219"/>
      <c r="T181" s="219"/>
      <c r="U181" s="101"/>
      <c r="V181" s="101"/>
      <c r="W181" s="101"/>
      <c r="X181" s="101"/>
      <c r="Y181" s="101"/>
    </row>
    <row r="182" spans="1:25">
      <c r="A182" s="206">
        <v>127</v>
      </c>
      <c r="B182" s="36"/>
      <c r="C182" s="9" t="s">
        <v>219</v>
      </c>
      <c r="D182" s="9"/>
      <c r="E182" s="18" t="s">
        <v>220</v>
      </c>
      <c r="F182" s="140" t="s">
        <v>265</v>
      </c>
      <c r="G182" s="312">
        <f>SUM(G$174:G$175)*0.02</f>
        <v>3840</v>
      </c>
      <c r="H182" s="247" t="s">
        <v>543</v>
      </c>
      <c r="I182" s="219"/>
      <c r="J182" s="219"/>
      <c r="K182" s="219"/>
      <c r="L182" s="219"/>
      <c r="M182" s="219"/>
      <c r="N182" s="219"/>
      <c r="O182" s="219"/>
      <c r="P182" s="219"/>
      <c r="Q182" s="219"/>
      <c r="R182" s="219"/>
      <c r="S182" s="219"/>
      <c r="T182" s="219"/>
      <c r="U182" s="101"/>
      <c r="V182" s="101"/>
      <c r="W182" s="101"/>
      <c r="X182" s="101"/>
      <c r="Y182" s="101"/>
    </row>
    <row r="183" spans="1:25">
      <c r="A183" s="206">
        <v>128</v>
      </c>
      <c r="B183" s="36"/>
      <c r="C183" s="9" t="s">
        <v>102</v>
      </c>
      <c r="D183" s="9"/>
      <c r="E183" s="18" t="s">
        <v>103</v>
      </c>
      <c r="F183" s="140" t="s">
        <v>265</v>
      </c>
      <c r="G183" s="312">
        <f>SUM(G$174:G$175)*0.0098</f>
        <v>1881.6</v>
      </c>
      <c r="H183" s="367">
        <v>9.7999999999999997E-3</v>
      </c>
      <c r="I183" s="219"/>
      <c r="J183" s="219"/>
      <c r="K183" s="219"/>
      <c r="L183" s="219"/>
      <c r="M183" s="219"/>
      <c r="N183" s="219"/>
      <c r="O183" s="219"/>
      <c r="P183" s="219"/>
      <c r="Q183" s="219"/>
      <c r="R183" s="219"/>
      <c r="S183" s="219"/>
      <c r="T183" s="219"/>
      <c r="U183" s="101"/>
      <c r="V183" s="101"/>
      <c r="W183" s="101"/>
      <c r="X183" s="101"/>
      <c r="Y183" s="101"/>
    </row>
    <row r="184" spans="1:25">
      <c r="A184" s="206">
        <v>129</v>
      </c>
      <c r="B184" s="36"/>
      <c r="C184" s="9" t="s">
        <v>104</v>
      </c>
      <c r="D184" s="9"/>
      <c r="E184" s="18" t="s">
        <v>105</v>
      </c>
      <c r="F184" s="140" t="s">
        <v>265</v>
      </c>
      <c r="G184" s="312">
        <f>SUM(G$174:G$175)*0.0075</f>
        <v>1440</v>
      </c>
      <c r="H184" s="367">
        <v>7.4999999999999997E-3</v>
      </c>
      <c r="I184" s="219"/>
      <c r="J184" s="219"/>
      <c r="K184" s="219"/>
      <c r="L184" s="219"/>
      <c r="M184" s="219"/>
      <c r="N184" s="219"/>
      <c r="O184" s="219"/>
      <c r="P184" s="219"/>
      <c r="Q184" s="219"/>
      <c r="R184" s="219"/>
      <c r="S184" s="219"/>
      <c r="T184" s="219"/>
      <c r="U184" s="101"/>
      <c r="V184" s="101"/>
      <c r="W184" s="101"/>
      <c r="X184" s="101"/>
      <c r="Y184" s="101"/>
    </row>
    <row r="185" spans="1:25">
      <c r="A185" s="206">
        <v>130</v>
      </c>
      <c r="B185" s="36"/>
      <c r="C185" s="85" t="s">
        <v>283</v>
      </c>
      <c r="D185" s="9"/>
      <c r="E185" s="18"/>
      <c r="F185" s="140"/>
      <c r="G185" s="312"/>
      <c r="H185" s="247"/>
      <c r="I185" s="219"/>
      <c r="J185" s="219"/>
      <c r="K185" s="219"/>
      <c r="L185" s="219"/>
      <c r="M185" s="219"/>
      <c r="N185" s="219"/>
      <c r="O185" s="219"/>
      <c r="P185" s="219"/>
      <c r="Q185" s="219"/>
      <c r="R185" s="219"/>
      <c r="S185" s="219"/>
      <c r="T185" s="219"/>
      <c r="U185" s="101"/>
      <c r="V185" s="101"/>
      <c r="W185" s="101"/>
      <c r="X185" s="101"/>
      <c r="Y185" s="101"/>
    </row>
    <row r="186" spans="1:25">
      <c r="A186" s="206">
        <v>131</v>
      </c>
      <c r="B186" s="36"/>
      <c r="C186" s="85"/>
      <c r="D186" s="9"/>
      <c r="E186" s="18"/>
      <c r="F186" s="140"/>
      <c r="G186" s="312"/>
      <c r="H186" s="247"/>
      <c r="I186" s="219"/>
      <c r="J186" s="219"/>
      <c r="K186" s="219"/>
      <c r="L186" s="219"/>
      <c r="M186" s="219"/>
      <c r="N186" s="219"/>
      <c r="O186" s="219"/>
      <c r="P186" s="219"/>
      <c r="Q186" s="219"/>
      <c r="R186" s="219"/>
      <c r="S186" s="219"/>
      <c r="T186" s="219"/>
      <c r="U186" s="101"/>
      <c r="V186" s="101"/>
      <c r="W186" s="101"/>
      <c r="X186" s="101"/>
      <c r="Y186" s="101"/>
    </row>
    <row r="187" spans="1:25">
      <c r="A187" s="206">
        <v>132</v>
      </c>
      <c r="B187" s="83"/>
      <c r="D187" s="13"/>
      <c r="E187" s="14"/>
      <c r="F187" s="148"/>
      <c r="G187" s="330"/>
      <c r="H187" s="262"/>
      <c r="I187" s="219"/>
      <c r="J187" s="219"/>
      <c r="K187" s="219"/>
      <c r="L187" s="219"/>
      <c r="M187" s="219"/>
      <c r="N187" s="219"/>
      <c r="O187" s="219"/>
      <c r="P187" s="219"/>
      <c r="Q187" s="219"/>
      <c r="R187" s="219"/>
      <c r="S187" s="219"/>
      <c r="T187" s="219"/>
      <c r="U187" s="101"/>
      <c r="V187" s="101"/>
      <c r="W187" s="101"/>
      <c r="X187" s="101"/>
      <c r="Y187" s="101"/>
    </row>
    <row r="188" spans="1:25">
      <c r="A188" s="207">
        <v>133</v>
      </c>
      <c r="B188" s="87" t="s">
        <v>125</v>
      </c>
      <c r="C188" s="51"/>
      <c r="D188" s="51"/>
      <c r="E188" s="49"/>
      <c r="F188" s="144"/>
      <c r="G188" s="320">
        <f>SUM(G174:G187)</f>
        <v>240001.6</v>
      </c>
      <c r="H188" s="250"/>
      <c r="I188" s="219"/>
      <c r="J188" s="219"/>
      <c r="K188" s="219"/>
      <c r="L188" s="219"/>
      <c r="M188" s="219"/>
      <c r="N188" s="219"/>
      <c r="O188" s="219"/>
      <c r="P188" s="219"/>
      <c r="Q188" s="219"/>
      <c r="R188" s="219"/>
      <c r="S188" s="219"/>
      <c r="T188" s="219"/>
      <c r="U188" s="101"/>
      <c r="V188" s="101"/>
      <c r="W188" s="101"/>
      <c r="X188" s="101"/>
      <c r="Y188" s="101"/>
    </row>
    <row r="189" spans="1:25" ht="4.5" customHeight="1">
      <c r="A189" s="211"/>
      <c r="B189" s="35"/>
      <c r="C189" s="12"/>
      <c r="D189" s="12"/>
      <c r="E189" s="16"/>
      <c r="F189" s="152"/>
      <c r="G189" s="334"/>
      <c r="H189" s="267"/>
      <c r="I189" s="219"/>
      <c r="J189" s="219"/>
      <c r="K189" s="219"/>
      <c r="L189" s="219"/>
      <c r="M189" s="219"/>
      <c r="N189" s="219"/>
      <c r="O189" s="219"/>
      <c r="P189" s="219"/>
      <c r="Q189" s="219"/>
      <c r="R189" s="219"/>
      <c r="S189" s="219"/>
      <c r="T189" s="219"/>
      <c r="U189" s="101"/>
      <c r="V189" s="101"/>
      <c r="W189" s="101"/>
      <c r="X189" s="101"/>
      <c r="Y189" s="101"/>
    </row>
    <row r="190" spans="1:25" s="4" customFormat="1">
      <c r="A190" s="206"/>
      <c r="B190" s="88" t="s">
        <v>292</v>
      </c>
      <c r="C190" s="53"/>
      <c r="D190" s="53"/>
      <c r="E190" s="61"/>
      <c r="F190" s="139"/>
      <c r="G190" s="317"/>
      <c r="H190" s="246"/>
      <c r="I190" s="219"/>
      <c r="J190" s="219"/>
      <c r="K190" s="219"/>
      <c r="L190" s="219"/>
      <c r="M190" s="219"/>
      <c r="N190" s="219"/>
      <c r="O190" s="219"/>
      <c r="P190" s="219"/>
      <c r="Q190" s="219"/>
      <c r="R190" s="219"/>
      <c r="S190" s="219"/>
      <c r="T190" s="219"/>
      <c r="U190" s="222"/>
      <c r="V190" s="222"/>
      <c r="W190" s="222"/>
      <c r="X190" s="222"/>
      <c r="Y190" s="222"/>
    </row>
    <row r="191" spans="1:25">
      <c r="A191" s="206"/>
      <c r="B191" s="25"/>
      <c r="C191" s="11" t="s">
        <v>1</v>
      </c>
      <c r="D191" s="11"/>
      <c r="E191" s="61"/>
      <c r="F191" s="139"/>
      <c r="G191" s="317"/>
      <c r="H191" s="246"/>
      <c r="I191" s="219"/>
      <c r="J191" s="219"/>
      <c r="K191" s="219"/>
      <c r="L191" s="219"/>
      <c r="M191" s="219"/>
      <c r="N191" s="219"/>
      <c r="O191" s="219"/>
      <c r="P191" s="219"/>
      <c r="Q191" s="219"/>
      <c r="R191" s="219"/>
      <c r="S191" s="219"/>
      <c r="T191" s="219"/>
      <c r="U191" s="101"/>
      <c r="V191" s="101"/>
      <c r="W191" s="101"/>
      <c r="X191" s="101"/>
      <c r="Y191" s="101"/>
    </row>
    <row r="192" spans="1:25">
      <c r="A192" s="206">
        <v>134</v>
      </c>
      <c r="B192" s="36"/>
      <c r="C192" s="9"/>
      <c r="D192" s="9" t="s">
        <v>127</v>
      </c>
      <c r="E192" s="18">
        <v>332</v>
      </c>
      <c r="F192" s="140" t="s">
        <v>225</v>
      </c>
      <c r="G192" s="312">
        <v>10000</v>
      </c>
      <c r="H192" s="247"/>
      <c r="I192" s="219"/>
      <c r="J192" s="219"/>
      <c r="K192" s="219"/>
      <c r="L192" s="219"/>
      <c r="M192" s="219"/>
      <c r="N192" s="219"/>
      <c r="O192" s="219"/>
      <c r="P192" s="219"/>
      <c r="Q192" s="219"/>
      <c r="R192" s="219"/>
      <c r="S192" s="219"/>
      <c r="T192" s="219"/>
      <c r="U192" s="101"/>
      <c r="V192" s="101"/>
      <c r="W192" s="101"/>
      <c r="X192" s="101"/>
      <c r="Y192" s="101"/>
    </row>
    <row r="193" spans="1:25">
      <c r="A193" s="206">
        <v>135</v>
      </c>
      <c r="B193" s="36"/>
      <c r="C193" s="9"/>
      <c r="D193" s="9" t="s">
        <v>83</v>
      </c>
      <c r="E193" s="18" t="s">
        <v>84</v>
      </c>
      <c r="F193" s="140" t="s">
        <v>126</v>
      </c>
      <c r="G193" s="312">
        <v>120000</v>
      </c>
      <c r="H193" s="247" t="s">
        <v>511</v>
      </c>
      <c r="I193" s="219"/>
      <c r="J193" s="219"/>
      <c r="K193" s="219"/>
      <c r="L193" s="219"/>
      <c r="M193" s="219"/>
      <c r="N193" s="219"/>
      <c r="O193" s="219"/>
      <c r="P193" s="219"/>
      <c r="Q193" s="219"/>
      <c r="R193" s="219"/>
      <c r="S193" s="219"/>
      <c r="T193" s="219"/>
      <c r="U193" s="101"/>
      <c r="V193" s="101"/>
      <c r="W193" s="101"/>
      <c r="X193" s="101"/>
      <c r="Y193" s="101"/>
    </row>
    <row r="194" spans="1:25">
      <c r="A194" s="206">
        <v>136</v>
      </c>
      <c r="B194" s="36"/>
      <c r="C194" s="9"/>
      <c r="D194" s="9" t="s">
        <v>128</v>
      </c>
      <c r="E194" s="18" t="s">
        <v>129</v>
      </c>
      <c r="F194" s="140" t="s">
        <v>126</v>
      </c>
      <c r="G194" s="312">
        <v>10000</v>
      </c>
      <c r="H194" s="247" t="s">
        <v>472</v>
      </c>
      <c r="I194" s="219"/>
      <c r="J194" s="219"/>
      <c r="K194" s="219"/>
      <c r="L194" s="219"/>
      <c r="M194" s="219"/>
      <c r="N194" s="219"/>
      <c r="O194" s="219"/>
      <c r="P194" s="219"/>
      <c r="Q194" s="219"/>
      <c r="R194" s="219"/>
      <c r="S194" s="219"/>
      <c r="T194" s="219"/>
      <c r="U194" s="101"/>
      <c r="V194" s="101"/>
      <c r="W194" s="101"/>
      <c r="X194" s="101"/>
      <c r="Y194" s="101"/>
    </row>
    <row r="195" spans="1:25">
      <c r="A195" s="206">
        <v>137</v>
      </c>
      <c r="B195" s="36"/>
      <c r="C195" s="9"/>
      <c r="D195" s="9" t="s">
        <v>130</v>
      </c>
      <c r="E195" s="18" t="s">
        <v>223</v>
      </c>
      <c r="F195" s="140" t="s">
        <v>225</v>
      </c>
      <c r="G195" s="312">
        <v>35000</v>
      </c>
      <c r="H195" s="247" t="s">
        <v>471</v>
      </c>
      <c r="I195" s="219"/>
      <c r="J195" s="219"/>
      <c r="K195" s="219"/>
      <c r="L195" s="219"/>
      <c r="M195" s="219"/>
      <c r="N195" s="219"/>
      <c r="O195" s="219"/>
      <c r="P195" s="219"/>
      <c r="Q195" s="219"/>
      <c r="R195" s="219"/>
      <c r="S195" s="219"/>
      <c r="T195" s="219"/>
      <c r="U195" s="101"/>
      <c r="V195" s="101"/>
      <c r="W195" s="101"/>
      <c r="X195" s="101"/>
      <c r="Y195" s="101"/>
    </row>
    <row r="196" spans="1:25">
      <c r="A196" s="206">
        <v>138</v>
      </c>
      <c r="B196" s="36"/>
      <c r="C196" s="9"/>
      <c r="D196" s="9" t="s">
        <v>131</v>
      </c>
      <c r="E196" s="18" t="s">
        <v>132</v>
      </c>
      <c r="F196" s="140" t="s">
        <v>126</v>
      </c>
      <c r="G196" s="312"/>
      <c r="H196" s="247"/>
      <c r="I196" s="219"/>
      <c r="J196" s="219"/>
      <c r="K196" s="219"/>
      <c r="L196" s="219"/>
      <c r="M196" s="219"/>
      <c r="N196" s="219"/>
      <c r="O196" s="219"/>
      <c r="P196" s="219"/>
      <c r="Q196" s="219"/>
      <c r="R196" s="219"/>
      <c r="S196" s="219"/>
      <c r="T196" s="219"/>
      <c r="U196" s="101"/>
      <c r="V196" s="101"/>
      <c r="W196" s="101"/>
      <c r="X196" s="101"/>
      <c r="Y196" s="101"/>
    </row>
    <row r="197" spans="1:25">
      <c r="A197" s="206">
        <v>139</v>
      </c>
      <c r="B197" s="36"/>
      <c r="C197" s="9"/>
      <c r="D197" s="9" t="s">
        <v>5</v>
      </c>
      <c r="E197" s="18">
        <v>730</v>
      </c>
      <c r="F197" s="140" t="s">
        <v>225</v>
      </c>
      <c r="G197" s="312"/>
      <c r="H197" s="247"/>
      <c r="I197" s="219"/>
      <c r="J197" s="219"/>
      <c r="K197" s="219"/>
      <c r="L197" s="219"/>
      <c r="M197" s="219"/>
      <c r="N197" s="219"/>
      <c r="O197" s="219"/>
      <c r="P197" s="219"/>
      <c r="Q197" s="219"/>
      <c r="R197" s="219"/>
      <c r="S197" s="219"/>
      <c r="T197" s="219"/>
      <c r="U197" s="101"/>
      <c r="V197" s="101"/>
      <c r="W197" s="101"/>
      <c r="X197" s="101"/>
      <c r="Y197" s="101"/>
    </row>
    <row r="198" spans="1:25">
      <c r="A198" s="206">
        <v>140</v>
      </c>
      <c r="B198" s="36"/>
      <c r="C198" s="9"/>
      <c r="D198" s="9" t="s">
        <v>133</v>
      </c>
      <c r="E198" s="18" t="s">
        <v>116</v>
      </c>
      <c r="F198" s="140" t="s">
        <v>126</v>
      </c>
      <c r="G198" s="312">
        <v>2500</v>
      </c>
      <c r="H198" s="247" t="s">
        <v>473</v>
      </c>
      <c r="I198" s="219"/>
      <c r="J198" s="219"/>
      <c r="K198" s="219"/>
      <c r="L198" s="219"/>
      <c r="M198" s="219"/>
      <c r="N198" s="219"/>
      <c r="O198" s="219"/>
      <c r="P198" s="219"/>
      <c r="Q198" s="219"/>
      <c r="R198" s="219"/>
      <c r="S198" s="219"/>
      <c r="T198" s="219"/>
      <c r="U198" s="101"/>
      <c r="V198" s="101"/>
      <c r="W198" s="101"/>
      <c r="X198" s="101"/>
      <c r="Y198" s="101"/>
    </row>
    <row r="199" spans="1:25">
      <c r="A199" s="206"/>
      <c r="B199" s="36"/>
      <c r="C199" s="9"/>
      <c r="D199" s="9" t="s">
        <v>490</v>
      </c>
      <c r="E199" s="18">
        <v>810</v>
      </c>
      <c r="F199" s="140">
        <v>2311</v>
      </c>
      <c r="G199" s="312">
        <f>SUM(G11,G25,G26)*0.02</f>
        <v>59013.688233716479</v>
      </c>
      <c r="H199" s="247" t="s">
        <v>491</v>
      </c>
      <c r="I199" s="219"/>
      <c r="J199" s="219"/>
      <c r="K199" s="219"/>
      <c r="L199" s="219"/>
      <c r="M199" s="219"/>
      <c r="N199" s="219"/>
      <c r="O199" s="219"/>
      <c r="P199" s="219"/>
      <c r="Q199" s="219"/>
      <c r="R199" s="219"/>
      <c r="S199" s="219"/>
      <c r="T199" s="219"/>
      <c r="U199" s="101"/>
      <c r="V199" s="101"/>
      <c r="W199" s="101"/>
      <c r="X199" s="101"/>
      <c r="Y199" s="101"/>
    </row>
    <row r="200" spans="1:25">
      <c r="A200" s="206">
        <v>141</v>
      </c>
      <c r="B200" s="36"/>
      <c r="C200" s="9"/>
      <c r="D200" s="9" t="s">
        <v>134</v>
      </c>
      <c r="E200" s="18" t="s">
        <v>135</v>
      </c>
      <c r="F200" s="140" t="s">
        <v>126</v>
      </c>
      <c r="G200" s="312"/>
      <c r="H200" s="247"/>
      <c r="I200" s="219"/>
      <c r="J200" s="219"/>
      <c r="K200" s="219"/>
      <c r="L200" s="219"/>
      <c r="M200" s="219"/>
      <c r="N200" s="219"/>
      <c r="O200" s="219"/>
      <c r="P200" s="219"/>
      <c r="Q200" s="219"/>
      <c r="R200" s="219"/>
      <c r="S200" s="219"/>
      <c r="T200" s="219"/>
      <c r="U200" s="101"/>
      <c r="V200" s="101"/>
      <c r="W200" s="101"/>
      <c r="X200" s="101"/>
      <c r="Y200" s="101"/>
    </row>
    <row r="201" spans="1:25">
      <c r="A201" s="206">
        <v>142</v>
      </c>
      <c r="B201" s="36"/>
      <c r="C201" s="85" t="s">
        <v>283</v>
      </c>
      <c r="D201" s="9"/>
      <c r="E201" s="18"/>
      <c r="F201" s="140"/>
      <c r="G201" s="312"/>
      <c r="H201" s="247"/>
      <c r="I201" s="219"/>
      <c r="J201" s="219"/>
      <c r="K201" s="219"/>
      <c r="L201" s="219"/>
      <c r="M201" s="219"/>
      <c r="N201" s="219"/>
      <c r="O201" s="219"/>
      <c r="P201" s="219"/>
      <c r="Q201" s="219"/>
      <c r="R201" s="219"/>
      <c r="S201" s="219"/>
      <c r="T201" s="219"/>
      <c r="U201" s="101"/>
      <c r="V201" s="101"/>
      <c r="W201" s="101"/>
      <c r="X201" s="101"/>
      <c r="Y201" s="101"/>
    </row>
    <row r="202" spans="1:25">
      <c r="A202" s="206">
        <v>143</v>
      </c>
      <c r="B202" s="107"/>
      <c r="C202" s="108"/>
      <c r="D202" s="109"/>
      <c r="E202" s="18"/>
      <c r="F202" s="140"/>
      <c r="G202" s="312"/>
      <c r="H202" s="247"/>
      <c r="I202" s="219"/>
      <c r="J202" s="219"/>
      <c r="K202" s="219"/>
      <c r="L202" s="219"/>
      <c r="M202" s="219"/>
      <c r="N202" s="219"/>
      <c r="O202" s="219"/>
      <c r="P202" s="219"/>
      <c r="Q202" s="219"/>
      <c r="R202" s="219"/>
      <c r="S202" s="219"/>
      <c r="T202" s="219"/>
      <c r="U202" s="101"/>
      <c r="V202" s="101"/>
      <c r="W202" s="101"/>
      <c r="X202" s="101"/>
      <c r="Y202" s="101"/>
    </row>
    <row r="203" spans="1:25">
      <c r="A203" s="206">
        <v>144</v>
      </c>
      <c r="B203" s="36"/>
      <c r="C203" s="9"/>
      <c r="D203" s="9"/>
      <c r="E203" s="18"/>
      <c r="F203" s="140"/>
      <c r="G203" s="312"/>
      <c r="H203" s="247"/>
      <c r="I203" s="219"/>
      <c r="J203" s="219"/>
      <c r="K203" s="219"/>
      <c r="L203" s="219"/>
      <c r="M203" s="219"/>
      <c r="N203" s="219"/>
      <c r="O203" s="219"/>
      <c r="P203" s="219"/>
      <c r="Q203" s="219"/>
      <c r="R203" s="219"/>
      <c r="S203" s="219"/>
      <c r="T203" s="219"/>
      <c r="U203" s="101"/>
      <c r="V203" s="101"/>
      <c r="W203" s="101"/>
      <c r="X203" s="101"/>
      <c r="Y203" s="101"/>
    </row>
    <row r="204" spans="1:25">
      <c r="A204" s="207">
        <v>145</v>
      </c>
      <c r="B204" s="87" t="s">
        <v>136</v>
      </c>
      <c r="C204" s="51"/>
      <c r="D204" s="51"/>
      <c r="E204" s="49"/>
      <c r="F204" s="144"/>
      <c r="G204" s="320">
        <f>SUM(G192:G203)</f>
        <v>236513.68823371647</v>
      </c>
      <c r="H204" s="250"/>
      <c r="I204" s="219"/>
      <c r="J204" s="219"/>
      <c r="K204" s="219"/>
      <c r="L204" s="219"/>
      <c r="M204" s="219"/>
      <c r="N204" s="219"/>
      <c r="O204" s="219"/>
      <c r="P204" s="219"/>
      <c r="Q204" s="219"/>
      <c r="R204" s="219"/>
      <c r="S204" s="219"/>
      <c r="T204" s="219"/>
      <c r="U204" s="101"/>
      <c r="V204" s="101"/>
      <c r="W204" s="101"/>
      <c r="X204" s="101"/>
      <c r="Y204" s="101"/>
    </row>
    <row r="205" spans="1:25">
      <c r="A205" s="206"/>
      <c r="B205" s="36"/>
      <c r="C205" s="9"/>
      <c r="D205" s="9"/>
      <c r="E205" s="18"/>
      <c r="F205" s="140"/>
      <c r="G205" s="312"/>
      <c r="H205" s="247"/>
      <c r="I205" s="219"/>
      <c r="J205" s="219"/>
      <c r="K205" s="219"/>
      <c r="L205" s="219"/>
      <c r="M205" s="219"/>
      <c r="N205" s="219"/>
      <c r="O205" s="219"/>
      <c r="P205" s="219"/>
      <c r="Q205" s="219"/>
      <c r="R205" s="219"/>
      <c r="S205" s="219"/>
      <c r="T205" s="219"/>
      <c r="U205" s="101"/>
      <c r="V205" s="101"/>
      <c r="W205" s="101"/>
      <c r="X205" s="101"/>
      <c r="Y205" s="101"/>
    </row>
    <row r="206" spans="1:25" s="4" customFormat="1">
      <c r="A206" s="206"/>
      <c r="B206" s="88" t="s">
        <v>26</v>
      </c>
      <c r="C206" s="53"/>
      <c r="D206" s="53"/>
      <c r="E206" s="61"/>
      <c r="F206" s="139"/>
      <c r="G206" s="317"/>
      <c r="H206" s="246"/>
      <c r="I206" s="219"/>
      <c r="J206" s="219"/>
      <c r="K206" s="219"/>
      <c r="L206" s="219"/>
      <c r="M206" s="219"/>
      <c r="N206" s="219"/>
      <c r="O206" s="219"/>
      <c r="P206" s="219"/>
      <c r="Q206" s="219"/>
      <c r="R206" s="219"/>
      <c r="S206" s="219"/>
      <c r="T206" s="219"/>
      <c r="U206" s="222"/>
      <c r="V206" s="222"/>
      <c r="W206" s="222"/>
      <c r="X206" s="222"/>
      <c r="Y206" s="222"/>
    </row>
    <row r="207" spans="1:25">
      <c r="A207" s="206"/>
      <c r="B207" s="36"/>
      <c r="C207" s="9" t="s">
        <v>76</v>
      </c>
      <c r="D207" s="9"/>
      <c r="E207" s="61"/>
      <c r="F207" s="139"/>
      <c r="G207" s="317"/>
      <c r="H207" s="246"/>
      <c r="I207" s="219"/>
      <c r="J207" s="219"/>
      <c r="K207" s="219"/>
      <c r="L207" s="219"/>
      <c r="M207" s="219"/>
      <c r="N207" s="219"/>
      <c r="O207" s="219"/>
      <c r="P207" s="219"/>
      <c r="Q207" s="219"/>
      <c r="R207" s="219"/>
      <c r="S207" s="219"/>
      <c r="T207" s="219"/>
      <c r="U207" s="101"/>
      <c r="V207" s="101"/>
      <c r="W207" s="101"/>
      <c r="X207" s="101"/>
      <c r="Y207" s="101"/>
    </row>
    <row r="208" spans="1:25">
      <c r="A208" s="206">
        <v>146</v>
      </c>
      <c r="B208" s="36"/>
      <c r="C208" s="9"/>
      <c r="D208" s="9" t="s">
        <v>137</v>
      </c>
      <c r="E208" s="18" t="s">
        <v>118</v>
      </c>
      <c r="F208" s="140" t="s">
        <v>138</v>
      </c>
      <c r="G208" s="312">
        <f>SUM('Assumptions Expenses'!D23)*'Assumptions Expenses'!C23</f>
        <v>140000</v>
      </c>
      <c r="H208" s="247" t="s">
        <v>470</v>
      </c>
      <c r="I208" s="219"/>
      <c r="J208" s="219"/>
      <c r="K208" s="219"/>
      <c r="L208" s="219"/>
      <c r="M208" s="219"/>
      <c r="N208" s="219"/>
      <c r="O208" s="219"/>
      <c r="P208" s="219"/>
      <c r="Q208" s="219"/>
      <c r="R208" s="219"/>
      <c r="S208" s="219"/>
      <c r="T208" s="219"/>
      <c r="U208" s="101"/>
      <c r="V208" s="101"/>
      <c r="W208" s="101"/>
      <c r="X208" s="101"/>
      <c r="Y208" s="101"/>
    </row>
    <row r="209" spans="1:25">
      <c r="A209" s="206">
        <v>147</v>
      </c>
      <c r="B209" s="36"/>
      <c r="C209" s="9"/>
      <c r="D209" s="9" t="s">
        <v>139</v>
      </c>
      <c r="E209" s="18" t="s">
        <v>118</v>
      </c>
      <c r="F209" s="140" t="s">
        <v>140</v>
      </c>
      <c r="G209" s="312">
        <f>SUM('Assumptions Expenses'!D24)*'Assumptions Expenses'!C24</f>
        <v>210000</v>
      </c>
      <c r="H209" s="247" t="s">
        <v>552</v>
      </c>
      <c r="I209" s="219"/>
      <c r="J209" s="219"/>
      <c r="K209" s="219"/>
      <c r="L209" s="219"/>
      <c r="M209" s="219"/>
      <c r="N209" s="219"/>
      <c r="O209" s="219"/>
      <c r="P209" s="219"/>
      <c r="Q209" s="219"/>
      <c r="R209" s="219"/>
      <c r="S209" s="219"/>
      <c r="T209" s="219"/>
      <c r="U209" s="101"/>
      <c r="V209" s="101"/>
      <c r="W209" s="101"/>
      <c r="X209" s="101"/>
      <c r="Y209" s="101"/>
    </row>
    <row r="210" spans="1:25">
      <c r="A210" s="206">
        <v>148</v>
      </c>
      <c r="B210" s="36"/>
      <c r="C210" s="9"/>
      <c r="D210" s="9" t="s">
        <v>141</v>
      </c>
      <c r="E210" s="18" t="s">
        <v>119</v>
      </c>
      <c r="F210" s="140" t="s">
        <v>142</v>
      </c>
      <c r="G210" s="312">
        <f>SUM('Assumptions Expenses'!D25)*'Assumptions Expenses'!C25</f>
        <v>35703</v>
      </c>
      <c r="H210" s="247" t="s">
        <v>553</v>
      </c>
      <c r="I210" s="219"/>
      <c r="J210" s="219"/>
      <c r="K210" s="219"/>
      <c r="L210" s="219"/>
      <c r="M210" s="219"/>
      <c r="N210" s="219"/>
      <c r="O210" s="219"/>
      <c r="P210" s="219"/>
      <c r="Q210" s="219"/>
      <c r="R210" s="219"/>
      <c r="S210" s="219"/>
      <c r="T210" s="219"/>
      <c r="U210" s="101"/>
      <c r="V210" s="101"/>
      <c r="W210" s="101"/>
      <c r="X210" s="101"/>
      <c r="Y210" s="101"/>
    </row>
    <row r="211" spans="1:25">
      <c r="A211" s="206">
        <v>149</v>
      </c>
      <c r="B211" s="36"/>
      <c r="C211" s="9" t="s">
        <v>83</v>
      </c>
      <c r="D211" s="9"/>
      <c r="E211" s="18" t="s">
        <v>84</v>
      </c>
      <c r="F211" s="140" t="s">
        <v>142</v>
      </c>
      <c r="G211" s="312">
        <v>15000</v>
      </c>
      <c r="H211" s="247" t="s">
        <v>527</v>
      </c>
      <c r="I211" s="219"/>
      <c r="J211" s="219"/>
      <c r="K211" s="219"/>
      <c r="L211" s="219"/>
      <c r="M211" s="219"/>
      <c r="N211" s="219"/>
      <c r="O211" s="219"/>
      <c r="P211" s="219"/>
      <c r="Q211" s="219"/>
      <c r="R211" s="219"/>
      <c r="S211" s="219"/>
      <c r="T211" s="219"/>
      <c r="U211" s="101"/>
      <c r="V211" s="101"/>
      <c r="W211" s="101"/>
      <c r="X211" s="101"/>
      <c r="Y211" s="101"/>
    </row>
    <row r="212" spans="1:25">
      <c r="A212" s="206">
        <v>150</v>
      </c>
      <c r="B212" s="36"/>
      <c r="C212" s="9" t="s">
        <v>85</v>
      </c>
      <c r="D212" s="9"/>
      <c r="E212" s="18" t="s">
        <v>86</v>
      </c>
      <c r="F212" s="140" t="s">
        <v>142</v>
      </c>
      <c r="G212" s="312"/>
      <c r="H212" s="247"/>
      <c r="I212" s="219"/>
      <c r="J212" s="219"/>
      <c r="K212" s="219"/>
      <c r="L212" s="219"/>
      <c r="M212" s="219"/>
      <c r="N212" s="219"/>
      <c r="O212" s="219"/>
      <c r="P212" s="219"/>
      <c r="Q212" s="219"/>
      <c r="R212" s="219"/>
      <c r="S212" s="219"/>
      <c r="T212" s="219"/>
      <c r="U212" s="101"/>
      <c r="V212" s="101"/>
      <c r="W212" s="101"/>
      <c r="X212" s="101"/>
      <c r="Y212" s="101"/>
    </row>
    <row r="213" spans="1:25">
      <c r="A213" s="206">
        <v>151</v>
      </c>
      <c r="B213" s="36"/>
      <c r="C213" s="9" t="s">
        <v>111</v>
      </c>
      <c r="D213" s="9"/>
      <c r="E213" s="18" t="s">
        <v>112</v>
      </c>
      <c r="F213" s="140" t="s">
        <v>142</v>
      </c>
      <c r="G213" s="312"/>
      <c r="H213" s="247"/>
      <c r="I213" s="219"/>
      <c r="J213" s="219"/>
      <c r="K213" s="219"/>
      <c r="L213" s="219"/>
      <c r="M213" s="219"/>
      <c r="N213" s="219"/>
      <c r="O213" s="219"/>
      <c r="P213" s="219"/>
      <c r="Q213" s="219"/>
      <c r="R213" s="219"/>
      <c r="S213" s="219"/>
      <c r="T213" s="219"/>
      <c r="U213" s="101"/>
      <c r="V213" s="101"/>
      <c r="W213" s="101"/>
      <c r="X213" s="101"/>
      <c r="Y213" s="101"/>
    </row>
    <row r="214" spans="1:25">
      <c r="A214" s="206">
        <v>152</v>
      </c>
      <c r="B214" s="36"/>
      <c r="C214" s="9" t="s">
        <v>143</v>
      </c>
      <c r="D214" s="9"/>
      <c r="E214" s="18" t="s">
        <v>144</v>
      </c>
      <c r="F214" s="140" t="s">
        <v>142</v>
      </c>
      <c r="G214" s="312">
        <v>2600</v>
      </c>
      <c r="H214" s="247"/>
      <c r="I214" s="219"/>
      <c r="J214" s="219"/>
      <c r="K214" s="219"/>
      <c r="L214" s="219"/>
      <c r="M214" s="219"/>
      <c r="N214" s="219"/>
      <c r="O214" s="219"/>
      <c r="P214" s="219"/>
      <c r="Q214" s="219"/>
      <c r="R214" s="219"/>
      <c r="S214" s="219"/>
      <c r="T214" s="219"/>
      <c r="U214" s="101"/>
      <c r="V214" s="101"/>
      <c r="W214" s="101"/>
      <c r="X214" s="101"/>
      <c r="Y214" s="101"/>
    </row>
    <row r="215" spans="1:25">
      <c r="A215" s="206">
        <v>153</v>
      </c>
      <c r="B215" s="36"/>
      <c r="C215" s="9" t="s">
        <v>87</v>
      </c>
      <c r="D215" s="9"/>
      <c r="E215" s="18" t="s">
        <v>88</v>
      </c>
      <c r="F215" s="140" t="s">
        <v>142</v>
      </c>
      <c r="G215" s="312">
        <v>6500</v>
      </c>
      <c r="H215" s="247"/>
      <c r="I215" s="219"/>
      <c r="J215" s="219"/>
      <c r="K215" s="219"/>
      <c r="L215" s="219"/>
      <c r="M215" s="219"/>
      <c r="N215" s="219"/>
      <c r="O215" s="219"/>
      <c r="P215" s="219"/>
      <c r="Q215" s="219"/>
      <c r="R215" s="219"/>
      <c r="S215" s="219"/>
      <c r="T215" s="219"/>
      <c r="U215" s="101"/>
      <c r="V215" s="101"/>
      <c r="W215" s="101"/>
      <c r="X215" s="101"/>
      <c r="Y215" s="101"/>
    </row>
    <row r="216" spans="1:25">
      <c r="A216" s="206">
        <v>154</v>
      </c>
      <c r="B216" s="36"/>
      <c r="C216" s="9" t="s">
        <v>110</v>
      </c>
      <c r="D216" s="9"/>
      <c r="E216" s="18" t="s">
        <v>90</v>
      </c>
      <c r="F216" s="140" t="s">
        <v>142</v>
      </c>
      <c r="G216" s="312">
        <v>10000</v>
      </c>
      <c r="H216" s="247"/>
      <c r="I216" s="219"/>
      <c r="J216" s="219"/>
      <c r="K216" s="219"/>
      <c r="L216" s="219"/>
      <c r="M216" s="219"/>
      <c r="N216" s="219"/>
      <c r="O216" s="219"/>
      <c r="P216" s="219"/>
      <c r="Q216" s="219"/>
      <c r="R216" s="219"/>
      <c r="S216" s="219"/>
      <c r="T216" s="219"/>
      <c r="U216" s="101"/>
      <c r="V216" s="101"/>
      <c r="W216" s="101"/>
      <c r="X216" s="101"/>
      <c r="Y216" s="101"/>
    </row>
    <row r="217" spans="1:25">
      <c r="A217" s="206">
        <v>155</v>
      </c>
      <c r="B217" s="36"/>
      <c r="C217" s="9" t="s">
        <v>242</v>
      </c>
      <c r="D217" s="9"/>
      <c r="E217" s="18" t="s">
        <v>243</v>
      </c>
      <c r="F217" s="140" t="s">
        <v>142</v>
      </c>
      <c r="G217" s="312">
        <v>3500</v>
      </c>
      <c r="H217" s="247"/>
      <c r="I217" s="219"/>
      <c r="J217" s="219"/>
      <c r="K217" s="219"/>
      <c r="L217" s="219"/>
      <c r="M217" s="219"/>
      <c r="N217" s="219"/>
      <c r="O217" s="219"/>
      <c r="P217" s="219"/>
      <c r="Q217" s="219"/>
      <c r="R217" s="219"/>
      <c r="S217" s="219"/>
      <c r="T217" s="219"/>
      <c r="U217" s="101"/>
      <c r="V217" s="101"/>
      <c r="W217" s="101"/>
      <c r="X217" s="101"/>
      <c r="Y217" s="101"/>
    </row>
    <row r="218" spans="1:25">
      <c r="A218" s="206">
        <v>156</v>
      </c>
      <c r="B218" s="36"/>
      <c r="C218" s="9" t="s">
        <v>296</v>
      </c>
      <c r="D218" s="9"/>
      <c r="E218" s="18" t="s">
        <v>116</v>
      </c>
      <c r="F218" s="140" t="s">
        <v>142</v>
      </c>
      <c r="G218" s="312">
        <v>500</v>
      </c>
      <c r="H218" s="247"/>
      <c r="I218" s="219"/>
      <c r="J218" s="219"/>
      <c r="K218" s="219"/>
      <c r="L218" s="219"/>
      <c r="M218" s="219"/>
      <c r="N218" s="219"/>
      <c r="O218" s="219"/>
      <c r="P218" s="219"/>
      <c r="Q218" s="219"/>
      <c r="R218" s="219"/>
      <c r="S218" s="219"/>
      <c r="T218" s="219"/>
      <c r="U218" s="101"/>
      <c r="V218" s="101"/>
      <c r="W218" s="101"/>
      <c r="X218" s="101"/>
      <c r="Y218" s="101"/>
    </row>
    <row r="219" spans="1:25">
      <c r="A219" s="206">
        <v>157</v>
      </c>
      <c r="B219" s="36"/>
      <c r="C219" s="9" t="s">
        <v>95</v>
      </c>
      <c r="D219" s="9"/>
      <c r="E219" s="18" t="s">
        <v>96</v>
      </c>
      <c r="F219" s="140" t="s">
        <v>142</v>
      </c>
      <c r="G219" s="312">
        <v>7500</v>
      </c>
      <c r="H219" s="247"/>
      <c r="I219" s="219"/>
      <c r="J219" s="219"/>
      <c r="K219" s="219"/>
      <c r="L219" s="219"/>
      <c r="M219" s="219"/>
      <c r="N219" s="219"/>
      <c r="O219" s="219"/>
      <c r="P219" s="219"/>
      <c r="Q219" s="219"/>
      <c r="R219" s="219"/>
      <c r="S219" s="219"/>
      <c r="T219" s="219"/>
      <c r="U219" s="101"/>
      <c r="V219" s="101"/>
      <c r="W219" s="101"/>
      <c r="X219" s="101"/>
      <c r="Y219" s="101"/>
    </row>
    <row r="220" spans="1:25">
      <c r="A220" s="206">
        <v>158</v>
      </c>
      <c r="B220" s="36"/>
      <c r="C220" s="9" t="s">
        <v>295</v>
      </c>
      <c r="D220" s="9"/>
      <c r="E220" s="18" t="s">
        <v>97</v>
      </c>
      <c r="F220" s="140" t="s">
        <v>11</v>
      </c>
      <c r="G220" s="312">
        <f>SUM('Assumptions Expenses'!D23:D25)*3884</f>
        <v>19420</v>
      </c>
      <c r="H220" s="247" t="s">
        <v>467</v>
      </c>
      <c r="I220" s="219"/>
      <c r="J220" s="219"/>
      <c r="K220" s="219"/>
      <c r="L220" s="219"/>
      <c r="M220" s="219"/>
      <c r="N220" s="219"/>
      <c r="O220" s="219"/>
      <c r="P220" s="219"/>
      <c r="Q220" s="219"/>
      <c r="R220" s="219"/>
      <c r="S220" s="219"/>
      <c r="T220" s="219"/>
      <c r="U220" s="101"/>
      <c r="V220" s="101"/>
      <c r="W220" s="101"/>
      <c r="X220" s="101"/>
      <c r="Y220" s="101"/>
    </row>
    <row r="221" spans="1:25">
      <c r="A221" s="206">
        <v>159</v>
      </c>
      <c r="B221" s="36"/>
      <c r="C221" s="9" t="s">
        <v>98</v>
      </c>
      <c r="D221" s="9"/>
      <c r="E221" s="18" t="s">
        <v>99</v>
      </c>
      <c r="F221" s="140" t="s">
        <v>11</v>
      </c>
      <c r="G221" s="312">
        <f>SUM(G208:G210)*0.062</f>
        <v>23913.585999999999</v>
      </c>
      <c r="H221" s="367">
        <v>6.2E-2</v>
      </c>
      <c r="I221" s="219"/>
      <c r="J221" s="219"/>
      <c r="K221" s="219"/>
      <c r="L221" s="219"/>
      <c r="M221" s="219"/>
      <c r="N221" s="219"/>
      <c r="O221" s="219"/>
      <c r="P221" s="219"/>
      <c r="Q221" s="219"/>
      <c r="R221" s="219"/>
      <c r="S221" s="219"/>
      <c r="T221" s="219"/>
      <c r="U221" s="101"/>
      <c r="V221" s="101"/>
      <c r="W221" s="101"/>
      <c r="X221" s="101"/>
      <c r="Y221" s="101"/>
    </row>
    <row r="222" spans="1:25">
      <c r="A222" s="206">
        <v>160</v>
      </c>
      <c r="B222" s="36"/>
      <c r="C222" s="9" t="s">
        <v>100</v>
      </c>
      <c r="D222" s="9"/>
      <c r="E222" s="18" t="s">
        <v>101</v>
      </c>
      <c r="F222" s="140" t="s">
        <v>11</v>
      </c>
      <c r="G222" s="312">
        <f>SUM(G208:G210)*0.0145</f>
        <v>5592.6935000000003</v>
      </c>
      <c r="H222" s="367">
        <v>1.4500000000000001E-2</v>
      </c>
      <c r="I222" s="219"/>
      <c r="J222" s="219"/>
      <c r="K222" s="219"/>
      <c r="L222" s="219"/>
      <c r="M222" s="219"/>
      <c r="N222" s="219"/>
      <c r="O222" s="219"/>
      <c r="P222" s="219"/>
      <c r="Q222" s="219"/>
      <c r="R222" s="219"/>
      <c r="S222" s="219"/>
      <c r="T222" s="219"/>
      <c r="U222" s="101"/>
      <c r="V222" s="101"/>
      <c r="W222" s="101"/>
      <c r="X222" s="101"/>
      <c r="Y222" s="101"/>
    </row>
    <row r="223" spans="1:25">
      <c r="A223" s="206">
        <v>161</v>
      </c>
      <c r="B223" s="36"/>
      <c r="C223" s="9" t="s">
        <v>219</v>
      </c>
      <c r="D223" s="9"/>
      <c r="E223" s="18" t="s">
        <v>220</v>
      </c>
      <c r="F223" s="140" t="s">
        <v>11</v>
      </c>
      <c r="G223" s="312">
        <f>SUM(G208:G210)*0.02</f>
        <v>7714.06</v>
      </c>
      <c r="H223" s="247" t="s">
        <v>543</v>
      </c>
      <c r="I223" s="219"/>
      <c r="J223" s="219"/>
      <c r="K223" s="219"/>
      <c r="L223" s="219"/>
      <c r="M223" s="219"/>
      <c r="N223" s="219"/>
      <c r="O223" s="219"/>
      <c r="P223" s="219"/>
      <c r="Q223" s="219"/>
      <c r="R223" s="219"/>
      <c r="S223" s="219"/>
      <c r="T223" s="219"/>
      <c r="U223" s="101"/>
      <c r="V223" s="101"/>
      <c r="W223" s="101"/>
      <c r="X223" s="101"/>
      <c r="Y223" s="101"/>
    </row>
    <row r="224" spans="1:25">
      <c r="A224" s="206">
        <v>162</v>
      </c>
      <c r="B224" s="36"/>
      <c r="C224" s="9" t="s">
        <v>102</v>
      </c>
      <c r="D224" s="9"/>
      <c r="E224" s="18" t="s">
        <v>103</v>
      </c>
      <c r="F224" s="140" t="s">
        <v>11</v>
      </c>
      <c r="G224" s="312">
        <f>SUM(G208:G210)*0.0098</f>
        <v>3779.8894</v>
      </c>
      <c r="H224" s="367">
        <v>9.7999999999999997E-3</v>
      </c>
      <c r="I224" s="219"/>
      <c r="J224" s="219"/>
      <c r="K224" s="219"/>
      <c r="L224" s="219"/>
      <c r="M224" s="219"/>
      <c r="N224" s="219"/>
      <c r="O224" s="219"/>
      <c r="P224" s="219"/>
      <c r="Q224" s="219"/>
      <c r="R224" s="219"/>
      <c r="S224" s="219"/>
      <c r="T224" s="219"/>
      <c r="U224" s="101"/>
      <c r="V224" s="101"/>
      <c r="W224" s="101"/>
      <c r="X224" s="101"/>
      <c r="Y224" s="101"/>
    </row>
    <row r="225" spans="1:25">
      <c r="A225" s="206">
        <v>163</v>
      </c>
      <c r="B225" s="36"/>
      <c r="C225" s="9" t="s">
        <v>104</v>
      </c>
      <c r="D225" s="9"/>
      <c r="E225" s="18" t="s">
        <v>105</v>
      </c>
      <c r="F225" s="140" t="s">
        <v>11</v>
      </c>
      <c r="G225" s="312">
        <f>SUM(G208:G210)*0.0075</f>
        <v>2892.7725</v>
      </c>
      <c r="H225" s="367">
        <v>7.4999999999999997E-3</v>
      </c>
      <c r="I225" s="219"/>
      <c r="J225" s="219"/>
      <c r="K225" s="219"/>
      <c r="L225" s="219"/>
      <c r="M225" s="219"/>
      <c r="N225" s="219"/>
      <c r="O225" s="219"/>
      <c r="P225" s="219"/>
      <c r="Q225" s="219"/>
      <c r="R225" s="219"/>
      <c r="S225" s="219"/>
      <c r="T225" s="219"/>
      <c r="U225" s="101"/>
      <c r="V225" s="101"/>
      <c r="W225" s="101"/>
      <c r="X225" s="101"/>
      <c r="Y225" s="101"/>
    </row>
    <row r="226" spans="1:25">
      <c r="A226" s="206">
        <v>164</v>
      </c>
      <c r="B226" s="36"/>
      <c r="C226" s="85" t="s">
        <v>283</v>
      </c>
      <c r="D226" s="9"/>
      <c r="E226" s="18"/>
      <c r="F226" s="140"/>
      <c r="G226" s="312"/>
      <c r="H226" s="247"/>
      <c r="I226" s="219"/>
      <c r="J226" s="219"/>
      <c r="K226" s="219"/>
      <c r="L226" s="219"/>
      <c r="M226" s="219"/>
      <c r="N226" s="219"/>
      <c r="O226" s="219"/>
      <c r="P226" s="219"/>
      <c r="Q226" s="219"/>
      <c r="R226" s="219"/>
      <c r="S226" s="219"/>
      <c r="T226" s="219"/>
      <c r="U226" s="101"/>
      <c r="V226" s="101"/>
      <c r="W226" s="101"/>
      <c r="X226" s="101"/>
      <c r="Y226" s="101"/>
    </row>
    <row r="227" spans="1:25">
      <c r="A227" s="206">
        <v>165</v>
      </c>
      <c r="B227" s="36"/>
      <c r="C227" s="85"/>
      <c r="D227" s="9"/>
      <c r="E227" s="18"/>
      <c r="F227" s="140"/>
      <c r="G227" s="312"/>
      <c r="H227" s="247"/>
      <c r="I227" s="219"/>
      <c r="J227" s="219"/>
      <c r="K227" s="219"/>
      <c r="L227" s="219"/>
      <c r="M227" s="219"/>
      <c r="N227" s="219"/>
      <c r="O227" s="219"/>
      <c r="P227" s="219"/>
      <c r="Q227" s="219"/>
      <c r="R227" s="219"/>
      <c r="S227" s="219"/>
      <c r="T227" s="219"/>
      <c r="U227" s="101"/>
      <c r="V227" s="101"/>
      <c r="W227" s="101"/>
      <c r="X227" s="101"/>
      <c r="Y227" s="101"/>
    </row>
    <row r="228" spans="1:25">
      <c r="A228" s="206">
        <v>166</v>
      </c>
      <c r="B228" s="83"/>
      <c r="D228" s="13"/>
      <c r="E228" s="14"/>
      <c r="F228" s="148"/>
      <c r="G228" s="330"/>
      <c r="H228" s="262"/>
      <c r="I228" s="219"/>
      <c r="J228" s="219"/>
      <c r="K228" s="219"/>
      <c r="L228" s="219"/>
      <c r="M228" s="219"/>
      <c r="N228" s="219"/>
      <c r="O228" s="219"/>
      <c r="P228" s="219"/>
      <c r="Q228" s="219"/>
      <c r="R228" s="219"/>
      <c r="S228" s="219"/>
      <c r="T228" s="219"/>
      <c r="U228" s="101"/>
      <c r="V228" s="101"/>
      <c r="W228" s="101"/>
      <c r="X228" s="101"/>
      <c r="Y228" s="101"/>
    </row>
    <row r="229" spans="1:25">
      <c r="A229" s="207">
        <v>167</v>
      </c>
      <c r="B229" s="87" t="s">
        <v>145</v>
      </c>
      <c r="C229" s="51"/>
      <c r="D229" s="51"/>
      <c r="E229" s="49"/>
      <c r="F229" s="144"/>
      <c r="G229" s="320">
        <f>SUM(G207:G228)</f>
        <v>494616.00140000001</v>
      </c>
      <c r="H229" s="250"/>
      <c r="I229" s="219"/>
      <c r="J229" s="219"/>
      <c r="K229" s="219"/>
      <c r="L229" s="219"/>
      <c r="M229" s="219"/>
      <c r="N229" s="219"/>
      <c r="O229" s="219"/>
      <c r="P229" s="219"/>
      <c r="Q229" s="219"/>
      <c r="R229" s="219"/>
      <c r="S229" s="219"/>
      <c r="T229" s="219"/>
      <c r="U229" s="101"/>
      <c r="V229" s="101"/>
      <c r="W229" s="101"/>
      <c r="X229" s="101"/>
      <c r="Y229" s="101"/>
    </row>
    <row r="230" spans="1:25" ht="6.75" customHeight="1">
      <c r="A230" s="211"/>
      <c r="B230" s="35"/>
      <c r="C230" s="12"/>
      <c r="D230" s="12"/>
      <c r="E230" s="16"/>
      <c r="F230" s="152"/>
      <c r="G230" s="334"/>
      <c r="H230" s="267"/>
      <c r="I230" s="219"/>
      <c r="J230" s="219"/>
      <c r="K230" s="219"/>
      <c r="L230" s="219"/>
      <c r="M230" s="219"/>
      <c r="N230" s="219"/>
      <c r="O230" s="219"/>
      <c r="P230" s="219"/>
      <c r="Q230" s="219"/>
      <c r="R230" s="219"/>
      <c r="S230" s="219"/>
      <c r="T230" s="219"/>
      <c r="U230" s="101"/>
      <c r="V230" s="101"/>
      <c r="W230" s="101"/>
      <c r="X230" s="101"/>
      <c r="Y230" s="101"/>
    </row>
    <row r="231" spans="1:25" s="4" customFormat="1">
      <c r="A231" s="206"/>
      <c r="B231" s="88" t="s">
        <v>27</v>
      </c>
      <c r="C231" s="53"/>
      <c r="D231" s="53"/>
      <c r="E231" s="63"/>
      <c r="F231" s="149"/>
      <c r="G231" s="331"/>
      <c r="H231" s="263"/>
      <c r="I231" s="226"/>
      <c r="J231" s="226"/>
      <c r="K231" s="226"/>
      <c r="L231" s="226"/>
      <c r="M231" s="226"/>
      <c r="N231" s="226"/>
      <c r="O231" s="226"/>
      <c r="P231" s="226"/>
      <c r="Q231" s="226"/>
      <c r="R231" s="226"/>
      <c r="S231" s="226"/>
      <c r="T231" s="226"/>
      <c r="U231" s="222"/>
      <c r="V231" s="222"/>
      <c r="W231" s="222"/>
      <c r="X231" s="222"/>
      <c r="Y231" s="222"/>
    </row>
    <row r="232" spans="1:25">
      <c r="A232" s="206"/>
      <c r="B232" s="36">
        <v>90</v>
      </c>
      <c r="C232" s="9" t="s">
        <v>146</v>
      </c>
      <c r="D232" s="9"/>
      <c r="E232" s="67"/>
      <c r="F232" s="153"/>
      <c r="G232" s="335"/>
      <c r="H232" s="268"/>
      <c r="I232" s="219"/>
      <c r="J232" s="219"/>
      <c r="K232" s="219"/>
      <c r="L232" s="219"/>
      <c r="M232" s="219"/>
      <c r="N232" s="219"/>
      <c r="O232" s="219"/>
      <c r="P232" s="219"/>
      <c r="Q232" s="219"/>
      <c r="R232" s="219"/>
      <c r="S232" s="219"/>
      <c r="T232" s="219"/>
      <c r="U232" s="101"/>
      <c r="V232" s="101"/>
      <c r="W232" s="101"/>
      <c r="X232" s="101"/>
      <c r="Y232" s="101"/>
    </row>
    <row r="233" spans="1:25">
      <c r="A233" s="206"/>
      <c r="B233" s="36"/>
      <c r="C233" s="9" t="s">
        <v>147</v>
      </c>
      <c r="D233" s="9"/>
      <c r="E233" s="71"/>
      <c r="F233" s="138"/>
      <c r="G233" s="316"/>
      <c r="H233" s="245"/>
      <c r="I233" s="219"/>
      <c r="J233" s="219"/>
      <c r="K233" s="219"/>
      <c r="L233" s="219"/>
      <c r="M233" s="219"/>
      <c r="N233" s="219"/>
      <c r="O233" s="219"/>
      <c r="P233" s="219"/>
      <c r="Q233" s="219"/>
      <c r="R233" s="219"/>
      <c r="S233" s="219"/>
      <c r="T233" s="219"/>
      <c r="U233" s="101"/>
      <c r="V233" s="101"/>
      <c r="W233" s="101"/>
      <c r="X233" s="101"/>
      <c r="Y233" s="101"/>
    </row>
    <row r="234" spans="1:25">
      <c r="A234" s="206">
        <v>168</v>
      </c>
      <c r="B234" s="36"/>
      <c r="C234" s="9" t="s">
        <v>182</v>
      </c>
      <c r="D234" s="9" t="s">
        <v>76</v>
      </c>
      <c r="E234" s="18" t="s">
        <v>222</v>
      </c>
      <c r="F234" s="140" t="s">
        <v>244</v>
      </c>
      <c r="G234" s="312">
        <f>SUM('Assumptions Expenses'!D28)*'Assumptions Expenses'!C28</f>
        <v>0</v>
      </c>
      <c r="H234" s="247" t="s">
        <v>477</v>
      </c>
      <c r="I234" s="219"/>
      <c r="J234" s="219"/>
      <c r="K234" s="219"/>
      <c r="L234" s="219"/>
      <c r="M234" s="219"/>
      <c r="N234" s="219"/>
      <c r="O234" s="219"/>
      <c r="P234" s="219"/>
      <c r="Q234" s="219"/>
      <c r="R234" s="219"/>
      <c r="S234" s="219"/>
      <c r="T234" s="219"/>
      <c r="U234" s="101"/>
      <c r="V234" s="101"/>
      <c r="W234" s="101"/>
      <c r="X234" s="101"/>
      <c r="Y234" s="101"/>
    </row>
    <row r="235" spans="1:25">
      <c r="A235" s="206">
        <v>169</v>
      </c>
      <c r="B235" s="36"/>
      <c r="C235" s="9"/>
      <c r="D235" s="9" t="s">
        <v>83</v>
      </c>
      <c r="E235" s="18" t="s">
        <v>84</v>
      </c>
      <c r="F235" s="140" t="s">
        <v>148</v>
      </c>
      <c r="G235" s="312"/>
      <c r="H235" s="247"/>
      <c r="I235" s="219"/>
      <c r="J235" s="219"/>
      <c r="K235" s="219"/>
      <c r="L235" s="219"/>
      <c r="M235" s="219"/>
      <c r="N235" s="219"/>
      <c r="O235" s="219"/>
      <c r="P235" s="219"/>
      <c r="Q235" s="219"/>
      <c r="R235" s="219"/>
      <c r="S235" s="219"/>
      <c r="T235" s="219"/>
      <c r="U235" s="101"/>
      <c r="V235" s="101"/>
      <c r="W235" s="101"/>
      <c r="X235" s="101"/>
      <c r="Y235" s="101"/>
    </row>
    <row r="236" spans="1:25">
      <c r="A236" s="206">
        <v>170</v>
      </c>
      <c r="B236" s="36"/>
      <c r="C236" s="9"/>
      <c r="D236" s="9" t="s">
        <v>297</v>
      </c>
      <c r="E236" s="18" t="s">
        <v>149</v>
      </c>
      <c r="F236" s="140" t="s">
        <v>148</v>
      </c>
      <c r="G236" s="312"/>
      <c r="H236" s="247"/>
      <c r="I236" s="219"/>
      <c r="J236" s="219"/>
      <c r="K236" s="219"/>
      <c r="L236" s="219"/>
      <c r="M236" s="219"/>
      <c r="N236" s="219"/>
      <c r="O236" s="219"/>
      <c r="P236" s="219"/>
      <c r="Q236" s="219"/>
      <c r="R236" s="219"/>
      <c r="S236" s="219"/>
      <c r="T236" s="219"/>
      <c r="U236" s="101"/>
      <c r="V236" s="101"/>
      <c r="W236" s="101"/>
      <c r="X236" s="101"/>
      <c r="Y236" s="101"/>
    </row>
    <row r="237" spans="1:25">
      <c r="A237" s="206">
        <v>171</v>
      </c>
      <c r="B237" s="36"/>
      <c r="C237" s="9"/>
      <c r="D237" s="9" t="s">
        <v>85</v>
      </c>
      <c r="E237" s="18" t="s">
        <v>86</v>
      </c>
      <c r="F237" s="140" t="s">
        <v>148</v>
      </c>
      <c r="G237" s="312"/>
      <c r="H237" s="247"/>
      <c r="I237" s="219"/>
      <c r="J237" s="219"/>
      <c r="K237" s="219"/>
      <c r="L237" s="219"/>
      <c r="M237" s="219"/>
      <c r="N237" s="219"/>
      <c r="O237" s="219"/>
      <c r="P237" s="219"/>
      <c r="Q237" s="219"/>
      <c r="R237" s="219"/>
      <c r="S237" s="219"/>
      <c r="T237" s="219"/>
      <c r="U237" s="101"/>
      <c r="V237" s="101"/>
      <c r="W237" s="101"/>
      <c r="X237" s="101"/>
      <c r="Y237" s="101"/>
    </row>
    <row r="238" spans="1:25">
      <c r="A238" s="206">
        <v>172</v>
      </c>
      <c r="B238" s="36"/>
      <c r="C238" s="9"/>
      <c r="D238" s="9" t="s">
        <v>111</v>
      </c>
      <c r="E238" s="18" t="s">
        <v>112</v>
      </c>
      <c r="F238" s="140" t="s">
        <v>148</v>
      </c>
      <c r="G238" s="312"/>
      <c r="H238" s="247"/>
      <c r="I238" s="219"/>
      <c r="J238" s="219"/>
      <c r="K238" s="219"/>
      <c r="L238" s="219"/>
      <c r="M238" s="219"/>
      <c r="N238" s="219"/>
      <c r="O238" s="219"/>
      <c r="P238" s="219"/>
      <c r="Q238" s="219"/>
      <c r="R238" s="219"/>
      <c r="S238" s="219"/>
      <c r="T238" s="219"/>
      <c r="U238" s="101"/>
      <c r="V238" s="101"/>
      <c r="W238" s="101"/>
      <c r="X238" s="101"/>
      <c r="Y238" s="101"/>
    </row>
    <row r="239" spans="1:25">
      <c r="A239" s="206">
        <v>173</v>
      </c>
      <c r="B239" s="36"/>
      <c r="C239" s="9"/>
      <c r="D239" s="9" t="s">
        <v>150</v>
      </c>
      <c r="E239" s="18" t="s">
        <v>144</v>
      </c>
      <c r="F239" s="140" t="s">
        <v>148</v>
      </c>
      <c r="G239" s="312">
        <v>1500</v>
      </c>
      <c r="H239" s="247"/>
      <c r="I239" s="219"/>
      <c r="J239" s="219"/>
      <c r="K239" s="219"/>
      <c r="L239" s="219"/>
      <c r="M239" s="219"/>
      <c r="N239" s="219"/>
      <c r="O239" s="219"/>
      <c r="P239" s="219"/>
      <c r="Q239" s="219"/>
      <c r="R239" s="219"/>
      <c r="S239" s="219"/>
      <c r="T239" s="219"/>
      <c r="U239" s="101"/>
      <c r="V239" s="101"/>
      <c r="W239" s="101"/>
      <c r="X239" s="101"/>
      <c r="Y239" s="101"/>
    </row>
    <row r="240" spans="1:25">
      <c r="A240" s="206">
        <v>174</v>
      </c>
      <c r="B240" s="36"/>
      <c r="C240" s="9"/>
      <c r="D240" s="9" t="s">
        <v>131</v>
      </c>
      <c r="E240" s="18" t="s">
        <v>132</v>
      </c>
      <c r="F240" s="140" t="s">
        <v>148</v>
      </c>
      <c r="G240" s="312"/>
      <c r="H240" s="247"/>
      <c r="I240" s="219"/>
      <c r="J240" s="219"/>
      <c r="K240" s="219"/>
      <c r="L240" s="219"/>
      <c r="M240" s="219"/>
      <c r="N240" s="219"/>
      <c r="O240" s="219"/>
      <c r="P240" s="219"/>
      <c r="Q240" s="219"/>
      <c r="R240" s="219"/>
      <c r="S240" s="219"/>
      <c r="T240" s="219"/>
      <c r="U240" s="101"/>
      <c r="V240" s="101"/>
      <c r="W240" s="101"/>
      <c r="X240" s="101"/>
      <c r="Y240" s="101"/>
    </row>
    <row r="241" spans="1:25">
      <c r="A241" s="206">
        <v>175</v>
      </c>
      <c r="B241" s="36"/>
      <c r="C241" s="9"/>
      <c r="D241" s="9" t="s">
        <v>87</v>
      </c>
      <c r="E241" s="18" t="s">
        <v>88</v>
      </c>
      <c r="F241" s="140" t="s">
        <v>148</v>
      </c>
      <c r="G241" s="312">
        <v>500</v>
      </c>
      <c r="H241" s="247"/>
      <c r="I241" s="219"/>
      <c r="J241" s="219"/>
      <c r="K241" s="219"/>
      <c r="L241" s="219"/>
      <c r="M241" s="219"/>
      <c r="N241" s="219"/>
      <c r="O241" s="219"/>
      <c r="P241" s="219"/>
      <c r="Q241" s="219"/>
      <c r="R241" s="219"/>
      <c r="S241" s="219"/>
      <c r="T241" s="219"/>
      <c r="U241" s="101"/>
      <c r="V241" s="101"/>
      <c r="W241" s="101"/>
      <c r="X241" s="101"/>
      <c r="Y241" s="101"/>
    </row>
    <row r="242" spans="1:25">
      <c r="A242" s="206">
        <v>176</v>
      </c>
      <c r="B242" s="36"/>
      <c r="C242" s="9"/>
      <c r="D242" s="9" t="s">
        <v>110</v>
      </c>
      <c r="E242" s="18" t="s">
        <v>90</v>
      </c>
      <c r="F242" s="140" t="s">
        <v>148</v>
      </c>
      <c r="G242" s="312">
        <v>1000</v>
      </c>
      <c r="H242" s="247"/>
      <c r="I242" s="219"/>
      <c r="J242" s="219"/>
      <c r="K242" s="219"/>
      <c r="L242" s="219"/>
      <c r="M242" s="219"/>
      <c r="N242" s="219"/>
      <c r="O242" s="219"/>
      <c r="P242" s="219"/>
      <c r="Q242" s="219"/>
      <c r="R242" s="219"/>
      <c r="S242" s="219"/>
      <c r="T242" s="219"/>
      <c r="U242" s="101"/>
      <c r="V242" s="101"/>
      <c r="W242" s="101"/>
      <c r="X242" s="101"/>
      <c r="Y242" s="101"/>
    </row>
    <row r="243" spans="1:25">
      <c r="A243" s="206">
        <v>177</v>
      </c>
      <c r="B243" s="36"/>
      <c r="C243" s="9"/>
      <c r="D243" s="9" t="s">
        <v>93</v>
      </c>
      <c r="E243" s="18" t="s">
        <v>94</v>
      </c>
      <c r="F243" s="140" t="s">
        <v>148</v>
      </c>
      <c r="G243" s="312">
        <v>1000</v>
      </c>
      <c r="H243" s="247"/>
      <c r="I243" s="219"/>
      <c r="J243" s="219"/>
      <c r="K243" s="219"/>
      <c r="L243" s="219"/>
      <c r="M243" s="219"/>
      <c r="N243" s="219"/>
      <c r="O243" s="219"/>
      <c r="P243" s="219"/>
      <c r="Q243" s="219"/>
      <c r="R243" s="219"/>
      <c r="S243" s="219"/>
      <c r="T243" s="219"/>
      <c r="U243" s="101"/>
      <c r="V243" s="101"/>
      <c r="W243" s="101"/>
      <c r="X243" s="101"/>
      <c r="Y243" s="101"/>
    </row>
    <row r="244" spans="1:25">
      <c r="A244" s="206">
        <v>178</v>
      </c>
      <c r="B244" s="36"/>
      <c r="C244" s="9"/>
      <c r="D244" s="9" t="s">
        <v>151</v>
      </c>
      <c r="E244" s="18" t="s">
        <v>152</v>
      </c>
      <c r="F244" s="140" t="s">
        <v>153</v>
      </c>
      <c r="G244" s="312"/>
      <c r="H244" s="247"/>
      <c r="I244" s="219"/>
      <c r="J244" s="219"/>
      <c r="K244" s="219"/>
      <c r="L244" s="219"/>
      <c r="M244" s="219"/>
      <c r="N244" s="219"/>
      <c r="O244" s="219"/>
      <c r="P244" s="219"/>
      <c r="Q244" s="219"/>
      <c r="R244" s="219"/>
      <c r="S244" s="219"/>
      <c r="T244" s="219"/>
      <c r="U244" s="101"/>
      <c r="V244" s="101"/>
      <c r="W244" s="101"/>
      <c r="X244" s="101"/>
      <c r="Y244" s="101"/>
    </row>
    <row r="245" spans="1:25">
      <c r="A245" s="206">
        <v>179</v>
      </c>
      <c r="B245" s="36"/>
      <c r="C245" s="9"/>
      <c r="D245" s="9" t="s">
        <v>95</v>
      </c>
      <c r="E245" s="18" t="s">
        <v>96</v>
      </c>
      <c r="F245" s="140" t="s">
        <v>148</v>
      </c>
      <c r="G245" s="312">
        <v>7500</v>
      </c>
      <c r="H245" s="247" t="s">
        <v>479</v>
      </c>
      <c r="I245" s="219"/>
      <c r="J245" s="219"/>
      <c r="K245" s="219"/>
      <c r="L245" s="219"/>
      <c r="M245" s="219"/>
      <c r="N245" s="219"/>
      <c r="O245" s="219"/>
      <c r="P245" s="219"/>
      <c r="Q245" s="219"/>
      <c r="R245" s="219"/>
      <c r="S245" s="219"/>
      <c r="T245" s="219"/>
      <c r="U245" s="101"/>
      <c r="V245" s="101"/>
      <c r="W245" s="101"/>
      <c r="X245" s="101"/>
      <c r="Y245" s="101"/>
    </row>
    <row r="246" spans="1:25">
      <c r="A246" s="206">
        <v>180</v>
      </c>
      <c r="B246" s="36"/>
      <c r="C246" s="9"/>
      <c r="D246" s="9" t="s">
        <v>295</v>
      </c>
      <c r="E246" s="18" t="s">
        <v>97</v>
      </c>
      <c r="F246" s="140" t="s">
        <v>244</v>
      </c>
      <c r="G246" s="312">
        <f>SUM('Assumptions Expenses'!D28)*3884</f>
        <v>3884</v>
      </c>
      <c r="H246" s="247" t="s">
        <v>467</v>
      </c>
      <c r="I246" s="219"/>
      <c r="J246" s="219"/>
      <c r="K246" s="219"/>
      <c r="L246" s="219"/>
      <c r="M246" s="219"/>
      <c r="N246" s="219"/>
      <c r="O246" s="219"/>
      <c r="P246" s="219"/>
      <c r="Q246" s="219"/>
      <c r="R246" s="219"/>
      <c r="S246" s="219"/>
      <c r="T246" s="219"/>
      <c r="U246" s="101"/>
      <c r="V246" s="101"/>
      <c r="W246" s="101"/>
      <c r="X246" s="101"/>
      <c r="Y246" s="101"/>
    </row>
    <row r="247" spans="1:25">
      <c r="A247" s="206">
        <v>181</v>
      </c>
      <c r="B247" s="36"/>
      <c r="C247" s="9"/>
      <c r="D247" s="9" t="s">
        <v>98</v>
      </c>
      <c r="E247" s="18" t="s">
        <v>99</v>
      </c>
      <c r="F247" s="140" t="s">
        <v>244</v>
      </c>
      <c r="G247" s="312">
        <f>SUM(G234)*0.062</f>
        <v>0</v>
      </c>
      <c r="H247" s="367">
        <v>6.2E-2</v>
      </c>
      <c r="I247" s="219"/>
      <c r="J247" s="219"/>
      <c r="K247" s="219"/>
      <c r="L247" s="219"/>
      <c r="M247" s="219"/>
      <c r="N247" s="219"/>
      <c r="O247" s="219"/>
      <c r="P247" s="219"/>
      <c r="Q247" s="219"/>
      <c r="R247" s="219"/>
      <c r="S247" s="219"/>
      <c r="T247" s="219"/>
      <c r="U247" s="101"/>
      <c r="V247" s="101"/>
      <c r="W247" s="101"/>
      <c r="X247" s="101"/>
      <c r="Y247" s="101"/>
    </row>
    <row r="248" spans="1:25">
      <c r="A248" s="206">
        <v>182</v>
      </c>
      <c r="B248" s="36"/>
      <c r="C248" s="9"/>
      <c r="D248" s="9" t="s">
        <v>100</v>
      </c>
      <c r="E248" s="18" t="s">
        <v>101</v>
      </c>
      <c r="F248" s="140" t="s">
        <v>244</v>
      </c>
      <c r="G248" s="312">
        <f>SUM(G234)*0.0145</f>
        <v>0</v>
      </c>
      <c r="H248" s="367">
        <v>1.4500000000000001E-2</v>
      </c>
      <c r="I248" s="219"/>
      <c r="J248" s="219"/>
      <c r="K248" s="219"/>
      <c r="L248" s="219"/>
      <c r="M248" s="219"/>
      <c r="N248" s="219"/>
      <c r="O248" s="219"/>
      <c r="P248" s="219"/>
      <c r="Q248" s="219"/>
      <c r="R248" s="219"/>
      <c r="S248" s="219"/>
      <c r="T248" s="219"/>
      <c r="U248" s="101"/>
      <c r="V248" s="101"/>
      <c r="W248" s="101"/>
      <c r="X248" s="101"/>
      <c r="Y248" s="101"/>
    </row>
    <row r="249" spans="1:25">
      <c r="A249" s="206">
        <v>183</v>
      </c>
      <c r="B249" s="36"/>
      <c r="C249" s="9"/>
      <c r="D249" s="9" t="s">
        <v>219</v>
      </c>
      <c r="E249" s="18" t="s">
        <v>220</v>
      </c>
      <c r="F249" s="140" t="s">
        <v>244</v>
      </c>
      <c r="G249" s="312">
        <f>SUM(G234)*0.02</f>
        <v>0</v>
      </c>
      <c r="H249" s="247" t="s">
        <v>508</v>
      </c>
      <c r="I249" s="219"/>
      <c r="J249" s="219"/>
      <c r="K249" s="219"/>
      <c r="L249" s="219"/>
      <c r="M249" s="219"/>
      <c r="N249" s="219"/>
      <c r="O249" s="219"/>
      <c r="P249" s="219"/>
      <c r="Q249" s="219"/>
      <c r="R249" s="219"/>
      <c r="S249" s="219"/>
      <c r="T249" s="219"/>
      <c r="U249" s="101"/>
      <c r="V249" s="101"/>
      <c r="W249" s="101"/>
      <c r="X249" s="101"/>
      <c r="Y249" s="101"/>
    </row>
    <row r="250" spans="1:25">
      <c r="A250" s="206">
        <v>184</v>
      </c>
      <c r="B250" s="36"/>
      <c r="C250" s="9"/>
      <c r="D250" s="9" t="s">
        <v>102</v>
      </c>
      <c r="E250" s="18" t="s">
        <v>103</v>
      </c>
      <c r="F250" s="140" t="s">
        <v>244</v>
      </c>
      <c r="G250" s="312">
        <f>SUM(G234)*0.0098</f>
        <v>0</v>
      </c>
      <c r="H250" s="367">
        <v>9.7999999999999997E-3</v>
      </c>
      <c r="I250" s="219"/>
      <c r="J250" s="219"/>
      <c r="K250" s="219"/>
      <c r="L250" s="219"/>
      <c r="M250" s="219"/>
      <c r="N250" s="219"/>
      <c r="O250" s="219"/>
      <c r="P250" s="219"/>
      <c r="Q250" s="219"/>
      <c r="R250" s="219"/>
      <c r="S250" s="219"/>
      <c r="T250" s="219"/>
      <c r="U250" s="101"/>
      <c r="V250" s="101"/>
      <c r="W250" s="101"/>
      <c r="X250" s="101"/>
      <c r="Y250" s="101"/>
    </row>
    <row r="251" spans="1:25">
      <c r="A251" s="206">
        <v>185</v>
      </c>
      <c r="B251" s="36"/>
      <c r="C251" s="9"/>
      <c r="D251" s="9" t="s">
        <v>104</v>
      </c>
      <c r="E251" s="18" t="s">
        <v>105</v>
      </c>
      <c r="F251" s="140" t="s">
        <v>244</v>
      </c>
      <c r="G251" s="312">
        <f>SUM(G234)*0.0075</f>
        <v>0</v>
      </c>
      <c r="H251" s="367">
        <v>7.4999999999999997E-3</v>
      </c>
      <c r="I251" s="219"/>
      <c r="J251" s="219"/>
      <c r="K251" s="219"/>
      <c r="L251" s="219"/>
      <c r="M251" s="219"/>
      <c r="N251" s="219"/>
      <c r="O251" s="219"/>
      <c r="P251" s="219"/>
      <c r="Q251" s="219"/>
      <c r="R251" s="219"/>
      <c r="S251" s="219"/>
      <c r="T251" s="219"/>
      <c r="U251" s="101"/>
      <c r="V251" s="101"/>
      <c r="W251" s="101"/>
      <c r="X251" s="101"/>
      <c r="Y251" s="101"/>
    </row>
    <row r="252" spans="1:25">
      <c r="A252" s="206">
        <v>186</v>
      </c>
      <c r="B252" s="36"/>
      <c r="C252" s="85"/>
      <c r="D252" s="9"/>
      <c r="E252" s="18"/>
      <c r="F252" s="140"/>
      <c r="G252" s="312"/>
      <c r="H252" s="247"/>
      <c r="I252" s="219"/>
      <c r="J252" s="219"/>
      <c r="K252" s="219"/>
      <c r="L252" s="219"/>
      <c r="M252" s="219"/>
      <c r="N252" s="219"/>
      <c r="O252" s="219"/>
      <c r="P252" s="219"/>
      <c r="Q252" s="219"/>
      <c r="R252" s="219"/>
      <c r="S252" s="219"/>
      <c r="T252" s="219"/>
      <c r="U252" s="101"/>
      <c r="V252" s="101"/>
      <c r="W252" s="101"/>
      <c r="X252" s="101"/>
      <c r="Y252" s="101"/>
    </row>
    <row r="253" spans="1:25">
      <c r="A253" s="206">
        <v>187</v>
      </c>
      <c r="B253" s="83"/>
      <c r="D253" s="13"/>
      <c r="E253" s="14"/>
      <c r="F253" s="148"/>
      <c r="G253" s="330"/>
      <c r="H253" s="262"/>
      <c r="I253" s="219"/>
      <c r="J253" s="219"/>
      <c r="K253" s="219"/>
      <c r="L253" s="219"/>
      <c r="M253" s="219"/>
      <c r="N253" s="219"/>
      <c r="O253" s="219"/>
      <c r="P253" s="219"/>
      <c r="Q253" s="219"/>
      <c r="R253" s="219"/>
      <c r="S253" s="219"/>
      <c r="T253" s="219"/>
      <c r="U253" s="101"/>
      <c r="V253" s="101"/>
      <c r="W253" s="101"/>
      <c r="X253" s="101"/>
      <c r="Y253" s="101"/>
    </row>
    <row r="254" spans="1:25">
      <c r="A254" s="207">
        <v>188</v>
      </c>
      <c r="B254" s="87" t="s">
        <v>154</v>
      </c>
      <c r="C254" s="6"/>
      <c r="D254" s="6"/>
      <c r="E254" s="49"/>
      <c r="F254" s="144"/>
      <c r="G254" s="320">
        <f>SUM(G232:G253)</f>
        <v>15384</v>
      </c>
      <c r="H254" s="250"/>
      <c r="I254" s="219"/>
      <c r="J254" s="219"/>
      <c r="K254" s="219"/>
      <c r="L254" s="219"/>
      <c r="M254" s="219"/>
      <c r="N254" s="219"/>
      <c r="O254" s="219"/>
      <c r="P254" s="219"/>
      <c r="Q254" s="219"/>
      <c r="R254" s="219"/>
      <c r="S254" s="219"/>
      <c r="T254" s="219"/>
      <c r="U254" s="101"/>
      <c r="V254" s="101"/>
      <c r="W254" s="101"/>
      <c r="X254" s="101"/>
      <c r="Y254" s="101"/>
    </row>
    <row r="255" spans="1:25">
      <c r="A255" s="211"/>
      <c r="B255" s="35"/>
      <c r="C255" s="12"/>
      <c r="D255" s="12"/>
      <c r="E255" s="71"/>
      <c r="F255" s="138"/>
      <c r="G255" s="316"/>
      <c r="H255" s="245"/>
      <c r="I255" s="219"/>
      <c r="J255" s="219"/>
      <c r="K255" s="219"/>
      <c r="L255" s="219"/>
      <c r="M255" s="219"/>
      <c r="N255" s="219"/>
      <c r="O255" s="219"/>
      <c r="P255" s="219"/>
      <c r="Q255" s="219"/>
      <c r="R255" s="219"/>
      <c r="S255" s="219"/>
      <c r="T255" s="219"/>
      <c r="U255" s="101"/>
      <c r="V255" s="101"/>
      <c r="W255" s="101"/>
      <c r="X255" s="101"/>
      <c r="Y255" s="101"/>
    </row>
    <row r="256" spans="1:25" s="4" customFormat="1">
      <c r="A256" s="206"/>
      <c r="B256" s="88" t="s">
        <v>28</v>
      </c>
      <c r="C256" s="53"/>
      <c r="D256" s="53"/>
      <c r="E256" s="77"/>
      <c r="F256" s="151"/>
      <c r="G256" s="333"/>
      <c r="H256" s="265"/>
      <c r="I256" s="226"/>
      <c r="J256" s="226"/>
      <c r="K256" s="226"/>
      <c r="L256" s="226"/>
      <c r="M256" s="226"/>
      <c r="N256" s="226"/>
      <c r="O256" s="226"/>
      <c r="P256" s="226"/>
      <c r="Q256" s="226"/>
      <c r="R256" s="226"/>
      <c r="S256" s="226"/>
      <c r="T256" s="226"/>
      <c r="U256" s="222"/>
      <c r="V256" s="222"/>
      <c r="W256" s="222"/>
      <c r="X256" s="222"/>
      <c r="Y256" s="222"/>
    </row>
    <row r="257" spans="1:25">
      <c r="A257" s="206">
        <v>189</v>
      </c>
      <c r="B257" s="36"/>
      <c r="C257" s="9" t="s">
        <v>298</v>
      </c>
      <c r="D257" s="9"/>
      <c r="E257" s="18" t="s">
        <v>222</v>
      </c>
      <c r="F257" s="140" t="s">
        <v>245</v>
      </c>
      <c r="G257" s="312">
        <v>0</v>
      </c>
      <c r="H257" s="247"/>
      <c r="I257" s="219"/>
      <c r="J257" s="219"/>
      <c r="K257" s="219"/>
      <c r="L257" s="219"/>
      <c r="M257" s="219"/>
      <c r="N257" s="219"/>
      <c r="O257" s="219"/>
      <c r="P257" s="219"/>
      <c r="Q257" s="219"/>
      <c r="R257" s="219"/>
      <c r="S257" s="219"/>
      <c r="T257" s="219"/>
      <c r="U257" s="101"/>
      <c r="V257" s="101"/>
      <c r="W257" s="101"/>
      <c r="X257" s="101"/>
      <c r="Y257" s="101"/>
    </row>
    <row r="258" spans="1:25">
      <c r="A258" s="206">
        <v>190</v>
      </c>
      <c r="B258" s="36"/>
      <c r="C258" s="9" t="s">
        <v>83</v>
      </c>
      <c r="D258" s="9"/>
      <c r="E258" s="18" t="s">
        <v>84</v>
      </c>
      <c r="F258" s="140" t="s">
        <v>156</v>
      </c>
      <c r="G258" s="312"/>
      <c r="I258" s="219"/>
      <c r="J258" s="219"/>
      <c r="K258" s="219"/>
      <c r="L258" s="219"/>
      <c r="M258" s="219"/>
      <c r="N258" s="219"/>
      <c r="O258" s="219"/>
      <c r="P258" s="219"/>
      <c r="Q258" s="219"/>
      <c r="R258" s="219"/>
      <c r="S258" s="219"/>
      <c r="T258" s="219"/>
      <c r="U258" s="101"/>
      <c r="V258" s="101"/>
      <c r="W258" s="101"/>
      <c r="X258" s="101"/>
      <c r="Y258" s="101"/>
    </row>
    <row r="259" spans="1:25">
      <c r="A259" s="206">
        <v>191</v>
      </c>
      <c r="B259" s="36"/>
      <c r="C259" s="9" t="s">
        <v>111</v>
      </c>
      <c r="D259" s="9"/>
      <c r="E259" s="18" t="s">
        <v>112</v>
      </c>
      <c r="F259" s="140" t="s">
        <v>157</v>
      </c>
      <c r="G259" s="312"/>
      <c r="H259" s="247"/>
      <c r="I259" s="219"/>
      <c r="J259" s="219"/>
      <c r="K259" s="219"/>
      <c r="L259" s="219"/>
      <c r="M259" s="219"/>
      <c r="N259" s="219"/>
      <c r="O259" s="219"/>
      <c r="P259" s="219"/>
      <c r="Q259" s="219"/>
      <c r="R259" s="219"/>
      <c r="S259" s="219"/>
      <c r="T259" s="219"/>
      <c r="U259" s="101"/>
      <c r="V259" s="101"/>
      <c r="W259" s="101"/>
      <c r="X259" s="101"/>
      <c r="Y259" s="101"/>
    </row>
    <row r="260" spans="1:25">
      <c r="A260" s="206">
        <v>192</v>
      </c>
      <c r="B260" s="36"/>
      <c r="C260" s="9" t="s">
        <v>158</v>
      </c>
      <c r="D260" s="9"/>
      <c r="E260" s="18" t="s">
        <v>159</v>
      </c>
      <c r="F260" s="140" t="s">
        <v>156</v>
      </c>
      <c r="G260" s="312"/>
      <c r="H260" s="247"/>
      <c r="I260" s="219"/>
      <c r="J260" s="219"/>
      <c r="K260" s="219"/>
      <c r="L260" s="219"/>
      <c r="M260" s="219"/>
      <c r="N260" s="219"/>
      <c r="O260" s="219"/>
      <c r="P260" s="219"/>
      <c r="Q260" s="219"/>
      <c r="R260" s="219"/>
      <c r="S260" s="219"/>
      <c r="T260" s="219"/>
      <c r="U260" s="101"/>
      <c r="V260" s="101"/>
      <c r="W260" s="101"/>
      <c r="X260" s="101"/>
      <c r="Y260" s="101"/>
    </row>
    <row r="261" spans="1:25">
      <c r="A261" s="206">
        <v>193</v>
      </c>
      <c r="B261" s="36"/>
      <c r="C261" s="9" t="s">
        <v>110</v>
      </c>
      <c r="D261" s="9"/>
      <c r="E261" s="18" t="s">
        <v>90</v>
      </c>
      <c r="F261" s="140" t="s">
        <v>156</v>
      </c>
      <c r="G261" s="312"/>
      <c r="H261" s="247"/>
      <c r="I261" s="219"/>
      <c r="J261" s="219"/>
      <c r="K261" s="219"/>
      <c r="L261" s="219"/>
      <c r="M261" s="219"/>
      <c r="N261" s="219"/>
      <c r="O261" s="219"/>
      <c r="P261" s="219"/>
      <c r="Q261" s="219"/>
      <c r="R261" s="219"/>
      <c r="S261" s="219"/>
      <c r="T261" s="219"/>
      <c r="U261" s="101"/>
      <c r="V261" s="101"/>
      <c r="W261" s="101"/>
      <c r="X261" s="101"/>
      <c r="Y261" s="101"/>
    </row>
    <row r="262" spans="1:25">
      <c r="A262" s="206">
        <v>194</v>
      </c>
      <c r="B262" s="36"/>
      <c r="C262" s="9" t="s">
        <v>160</v>
      </c>
      <c r="D262" s="9"/>
      <c r="E262" s="18" t="s">
        <v>115</v>
      </c>
      <c r="F262" s="140" t="s">
        <v>156</v>
      </c>
      <c r="G262" s="312"/>
      <c r="H262" s="247"/>
      <c r="I262" s="219"/>
      <c r="J262" s="219"/>
      <c r="K262" s="219"/>
      <c r="L262" s="219"/>
      <c r="M262" s="219"/>
      <c r="N262" s="219"/>
      <c r="O262" s="219"/>
      <c r="P262" s="219"/>
      <c r="Q262" s="219"/>
      <c r="R262" s="219"/>
      <c r="S262" s="219"/>
      <c r="T262" s="219"/>
      <c r="U262" s="101"/>
      <c r="V262" s="101"/>
      <c r="W262" s="101"/>
      <c r="X262" s="101"/>
      <c r="Y262" s="101"/>
    </row>
    <row r="263" spans="1:25">
      <c r="A263" s="206">
        <v>195</v>
      </c>
      <c r="B263" s="36"/>
      <c r="C263" s="9" t="s">
        <v>93</v>
      </c>
      <c r="D263" s="9"/>
      <c r="E263" s="18" t="s">
        <v>94</v>
      </c>
      <c r="F263" s="140" t="s">
        <v>156</v>
      </c>
      <c r="G263" s="312"/>
      <c r="H263" s="247"/>
      <c r="I263" s="219"/>
      <c r="J263" s="219"/>
      <c r="K263" s="219"/>
      <c r="L263" s="219"/>
      <c r="M263" s="219"/>
      <c r="N263" s="219"/>
      <c r="O263" s="219"/>
      <c r="P263" s="219"/>
      <c r="Q263" s="219"/>
      <c r="R263" s="219"/>
      <c r="S263" s="219"/>
      <c r="T263" s="219"/>
      <c r="U263" s="101"/>
      <c r="V263" s="101"/>
      <c r="W263" s="101"/>
      <c r="X263" s="101"/>
      <c r="Y263" s="101"/>
    </row>
    <row r="264" spans="1:25">
      <c r="A264" s="206">
        <v>196</v>
      </c>
      <c r="B264" s="36"/>
      <c r="C264" s="9" t="s">
        <v>95</v>
      </c>
      <c r="D264" s="9"/>
      <c r="E264" s="18" t="s">
        <v>96</v>
      </c>
      <c r="F264" s="140" t="s">
        <v>156</v>
      </c>
      <c r="G264" s="312"/>
      <c r="H264" s="247"/>
      <c r="I264" s="219"/>
      <c r="J264" s="219"/>
      <c r="K264" s="219"/>
      <c r="L264" s="219"/>
      <c r="M264" s="219"/>
      <c r="N264" s="219"/>
      <c r="O264" s="219"/>
      <c r="P264" s="219"/>
      <c r="Q264" s="219"/>
      <c r="R264" s="219"/>
      <c r="S264" s="219"/>
      <c r="T264" s="219"/>
      <c r="U264" s="101"/>
      <c r="V264" s="101"/>
      <c r="W264" s="101"/>
      <c r="X264" s="101"/>
      <c r="Y264" s="101"/>
    </row>
    <row r="265" spans="1:25">
      <c r="A265" s="206"/>
      <c r="B265" s="36"/>
      <c r="C265" s="9" t="s">
        <v>161</v>
      </c>
      <c r="D265" s="9"/>
      <c r="E265" s="61"/>
      <c r="F265" s="139"/>
      <c r="G265" s="317"/>
      <c r="H265" s="246"/>
      <c r="I265" s="219"/>
      <c r="J265" s="219"/>
      <c r="K265" s="219"/>
      <c r="L265" s="219"/>
      <c r="M265" s="219"/>
      <c r="N265" s="219"/>
      <c r="O265" s="219"/>
      <c r="P265" s="219"/>
      <c r="Q265" s="219"/>
      <c r="R265" s="219"/>
      <c r="S265" s="219"/>
      <c r="T265" s="219"/>
      <c r="U265" s="101"/>
      <c r="V265" s="101"/>
      <c r="W265" s="101"/>
      <c r="X265" s="101"/>
      <c r="Y265" s="101"/>
    </row>
    <row r="266" spans="1:25">
      <c r="A266" s="206">
        <v>197</v>
      </c>
      <c r="B266" s="36"/>
      <c r="C266" s="9"/>
      <c r="D266" s="9" t="s">
        <v>162</v>
      </c>
      <c r="E266" s="18" t="s">
        <v>159</v>
      </c>
      <c r="F266" s="140" t="s">
        <v>155</v>
      </c>
      <c r="G266" s="312"/>
      <c r="H266" s="247"/>
      <c r="I266" s="219"/>
      <c r="J266" s="219"/>
      <c r="K266" s="219"/>
      <c r="L266" s="219"/>
      <c r="M266" s="219"/>
      <c r="N266" s="219"/>
      <c r="O266" s="219"/>
      <c r="P266" s="219"/>
      <c r="Q266" s="219"/>
      <c r="R266" s="219"/>
      <c r="S266" s="219"/>
      <c r="T266" s="219"/>
      <c r="U266" s="101"/>
      <c r="V266" s="101"/>
      <c r="W266" s="101"/>
      <c r="X266" s="101"/>
      <c r="Y266" s="101"/>
    </row>
    <row r="267" spans="1:25">
      <c r="A267" s="206">
        <v>198</v>
      </c>
      <c r="B267" s="36"/>
      <c r="C267" s="9"/>
      <c r="D267" s="9" t="s">
        <v>163</v>
      </c>
      <c r="E267" s="18" t="s">
        <v>164</v>
      </c>
      <c r="F267" s="140" t="s">
        <v>155</v>
      </c>
      <c r="G267" s="312">
        <v>7500</v>
      </c>
      <c r="H267" s="247" t="s">
        <v>480</v>
      </c>
      <c r="I267" s="219"/>
      <c r="J267" s="219"/>
      <c r="K267" s="219"/>
      <c r="L267" s="219"/>
      <c r="M267" s="219"/>
      <c r="N267" s="219"/>
      <c r="O267" s="219"/>
      <c r="P267" s="219"/>
      <c r="Q267" s="219"/>
      <c r="R267" s="219"/>
      <c r="S267" s="219"/>
      <c r="T267" s="219"/>
      <c r="U267" s="101"/>
      <c r="V267" s="101"/>
      <c r="W267" s="101"/>
      <c r="X267" s="101"/>
      <c r="Y267" s="101"/>
    </row>
    <row r="268" spans="1:25">
      <c r="A268" s="206">
        <v>199</v>
      </c>
      <c r="B268" s="36"/>
      <c r="C268" s="9"/>
      <c r="D268" s="9" t="s">
        <v>165</v>
      </c>
      <c r="E268" s="18" t="s">
        <v>166</v>
      </c>
      <c r="F268" s="140" t="s">
        <v>155</v>
      </c>
      <c r="G268" s="312">
        <v>5961</v>
      </c>
      <c r="H268" s="247"/>
      <c r="I268" s="219"/>
      <c r="J268" s="219"/>
      <c r="K268" s="219"/>
      <c r="L268" s="219"/>
      <c r="M268" s="219"/>
      <c r="N268" s="219"/>
      <c r="O268" s="219"/>
      <c r="P268" s="219"/>
      <c r="Q268" s="219"/>
      <c r="R268" s="219"/>
      <c r="S268" s="219"/>
      <c r="T268" s="219"/>
      <c r="U268" s="101"/>
      <c r="V268" s="101"/>
      <c r="W268" s="101"/>
      <c r="X268" s="101"/>
      <c r="Y268" s="101"/>
    </row>
    <row r="269" spans="1:25">
      <c r="A269" s="206">
        <v>200</v>
      </c>
      <c r="B269" s="36"/>
      <c r="C269" s="9"/>
      <c r="D269" s="9" t="s">
        <v>167</v>
      </c>
      <c r="E269" s="18" t="s">
        <v>168</v>
      </c>
      <c r="F269" s="140" t="s">
        <v>155</v>
      </c>
      <c r="G269" s="312">
        <f>'Assumptions Expenses'!C32*2.15</f>
        <v>118250</v>
      </c>
      <c r="H269" s="247" t="s">
        <v>529</v>
      </c>
      <c r="I269" s="219"/>
      <c r="J269" s="219"/>
      <c r="K269" s="219"/>
      <c r="L269" s="219"/>
      <c r="M269" s="219"/>
      <c r="N269" s="219"/>
      <c r="O269" s="219"/>
      <c r="P269" s="219"/>
      <c r="Q269" s="219"/>
      <c r="R269" s="219"/>
      <c r="S269" s="219"/>
      <c r="T269" s="219"/>
      <c r="U269" s="101"/>
      <c r="V269" s="101"/>
      <c r="W269" s="101"/>
      <c r="X269" s="101"/>
      <c r="Y269" s="101"/>
    </row>
    <row r="270" spans="1:25">
      <c r="A270" s="206">
        <v>201</v>
      </c>
      <c r="B270" s="36"/>
      <c r="C270" s="9"/>
      <c r="D270" s="9" t="s">
        <v>85</v>
      </c>
      <c r="E270" s="18" t="s">
        <v>86</v>
      </c>
      <c r="F270" s="140" t="s">
        <v>155</v>
      </c>
      <c r="G270" s="312">
        <f>'Assumptions Expenses'!C32*0.5</f>
        <v>27500</v>
      </c>
      <c r="H270" s="247" t="s">
        <v>475</v>
      </c>
      <c r="I270" s="219"/>
      <c r="J270" s="219"/>
      <c r="K270" s="219"/>
      <c r="L270" s="219"/>
      <c r="M270" s="219"/>
      <c r="N270" s="219"/>
      <c r="O270" s="219"/>
      <c r="P270" s="219"/>
      <c r="Q270" s="219"/>
      <c r="R270" s="219"/>
      <c r="S270" s="219"/>
      <c r="T270" s="219"/>
      <c r="U270" s="101"/>
      <c r="V270" s="101"/>
      <c r="W270" s="101"/>
      <c r="X270" s="101"/>
      <c r="Y270" s="101"/>
    </row>
    <row r="271" spans="1:25">
      <c r="A271" s="206">
        <v>202</v>
      </c>
      <c r="B271" s="36"/>
      <c r="C271" s="9"/>
      <c r="D271" s="9" t="s">
        <v>169</v>
      </c>
      <c r="E271" s="18" t="s">
        <v>170</v>
      </c>
      <c r="F271" s="140" t="s">
        <v>155</v>
      </c>
      <c r="G271" s="312">
        <f>Assumptions!B18*110</f>
        <v>33000</v>
      </c>
      <c r="H271" s="247" t="s">
        <v>476</v>
      </c>
      <c r="I271" s="219"/>
      <c r="J271" s="219"/>
      <c r="K271" s="219"/>
      <c r="L271" s="219"/>
      <c r="M271" s="219"/>
      <c r="N271" s="219"/>
      <c r="O271" s="219"/>
      <c r="P271" s="219"/>
      <c r="Q271" s="219"/>
      <c r="R271" s="219"/>
      <c r="S271" s="219"/>
      <c r="T271" s="219"/>
      <c r="U271" s="101"/>
      <c r="V271" s="101"/>
      <c r="W271" s="101"/>
      <c r="X271" s="101"/>
      <c r="Y271" s="101"/>
    </row>
    <row r="272" spans="1:25">
      <c r="A272" s="206">
        <v>203</v>
      </c>
      <c r="B272" s="36"/>
      <c r="C272" s="9"/>
      <c r="D272" s="9" t="s">
        <v>171</v>
      </c>
      <c r="E272" s="18" t="s">
        <v>144</v>
      </c>
      <c r="F272" s="140" t="s">
        <v>155</v>
      </c>
      <c r="G272" s="312">
        <v>13000</v>
      </c>
      <c r="H272" s="247" t="s">
        <v>481</v>
      </c>
      <c r="I272" s="219"/>
      <c r="J272" s="219"/>
      <c r="K272" s="219"/>
      <c r="L272" s="219"/>
      <c r="M272" s="219"/>
      <c r="N272" s="219"/>
      <c r="O272" s="219"/>
      <c r="P272" s="219"/>
      <c r="Q272" s="219"/>
      <c r="R272" s="219"/>
      <c r="S272" s="219"/>
      <c r="T272" s="219"/>
      <c r="U272" s="101"/>
      <c r="V272" s="101"/>
      <c r="W272" s="101"/>
      <c r="X272" s="101"/>
      <c r="Y272" s="101"/>
    </row>
    <row r="273" spans="1:25">
      <c r="A273" s="206">
        <v>204</v>
      </c>
      <c r="B273" s="36"/>
      <c r="C273" s="9"/>
      <c r="D273" s="9" t="s">
        <v>248</v>
      </c>
      <c r="E273" s="18" t="s">
        <v>249</v>
      </c>
      <c r="F273" s="140" t="s">
        <v>155</v>
      </c>
      <c r="G273" s="312">
        <f>'Assumptions Expenses'!C32*1.33</f>
        <v>73150</v>
      </c>
      <c r="H273" s="247" t="s">
        <v>506</v>
      </c>
      <c r="I273" s="451" t="s">
        <v>33</v>
      </c>
      <c r="J273" s="219"/>
      <c r="K273" s="219"/>
      <c r="L273" s="219"/>
      <c r="M273" s="219"/>
      <c r="N273" s="219"/>
      <c r="O273" s="219"/>
      <c r="P273" s="219"/>
      <c r="Q273" s="219"/>
      <c r="R273" s="219"/>
      <c r="S273" s="219"/>
      <c r="T273" s="219"/>
      <c r="U273" s="101"/>
      <c r="V273" s="101"/>
      <c r="W273" s="101"/>
      <c r="X273" s="101"/>
      <c r="Y273" s="101"/>
    </row>
    <row r="274" spans="1:25">
      <c r="A274" s="206">
        <v>205</v>
      </c>
      <c r="B274" s="36"/>
      <c r="C274" s="9" t="s">
        <v>172</v>
      </c>
      <c r="D274" s="9"/>
      <c r="E274" s="18" t="s">
        <v>251</v>
      </c>
      <c r="F274" s="140">
        <v>2630</v>
      </c>
      <c r="G274" s="312"/>
      <c r="H274" s="247"/>
      <c r="I274" s="219"/>
      <c r="J274" s="219"/>
      <c r="K274" s="219"/>
      <c r="L274" s="219"/>
      <c r="M274" s="219"/>
      <c r="N274" s="219"/>
      <c r="O274" s="219"/>
      <c r="P274" s="219"/>
      <c r="Q274" s="219"/>
      <c r="R274" s="219"/>
      <c r="S274" s="219"/>
      <c r="T274" s="219"/>
      <c r="U274" s="101"/>
      <c r="V274" s="101"/>
      <c r="W274" s="101"/>
      <c r="X274" s="101"/>
      <c r="Y274" s="101"/>
    </row>
    <row r="275" spans="1:25">
      <c r="A275" s="206">
        <v>206</v>
      </c>
      <c r="B275" s="36"/>
      <c r="C275" s="9" t="s">
        <v>173</v>
      </c>
      <c r="D275" s="9"/>
      <c r="E275" s="18" t="s">
        <v>251</v>
      </c>
      <c r="F275" s="140">
        <v>2640</v>
      </c>
      <c r="G275" s="312"/>
      <c r="H275" s="247"/>
      <c r="I275" s="219"/>
      <c r="J275" s="219"/>
      <c r="K275" s="219"/>
      <c r="L275" s="219"/>
      <c r="M275" s="219"/>
      <c r="N275" s="219"/>
      <c r="O275" s="219"/>
      <c r="P275" s="219"/>
      <c r="Q275" s="219"/>
      <c r="R275" s="219"/>
      <c r="S275" s="219"/>
      <c r="T275" s="219"/>
      <c r="U275" s="101"/>
      <c r="V275" s="101"/>
      <c r="W275" s="101"/>
      <c r="X275" s="101"/>
      <c r="Y275" s="101"/>
    </row>
    <row r="276" spans="1:25">
      <c r="A276" s="206">
        <v>207</v>
      </c>
      <c r="B276" s="36"/>
      <c r="C276" s="9" t="s">
        <v>174</v>
      </c>
      <c r="D276" s="9"/>
      <c r="E276" s="18" t="s">
        <v>221</v>
      </c>
      <c r="F276" s="140" t="s">
        <v>245</v>
      </c>
      <c r="G276" s="312"/>
      <c r="H276" s="247"/>
      <c r="I276" s="219"/>
      <c r="J276" s="219"/>
      <c r="K276" s="219"/>
      <c r="L276" s="219"/>
      <c r="M276" s="219"/>
      <c r="N276" s="219"/>
      <c r="O276" s="219"/>
      <c r="P276" s="219"/>
      <c r="Q276" s="219"/>
      <c r="R276" s="219"/>
      <c r="S276" s="219"/>
      <c r="T276" s="219"/>
      <c r="U276" s="101"/>
      <c r="V276" s="101"/>
      <c r="W276" s="101"/>
      <c r="X276" s="101"/>
      <c r="Y276" s="101"/>
    </row>
    <row r="277" spans="1:25">
      <c r="A277" s="206">
        <v>208</v>
      </c>
      <c r="B277" s="36"/>
      <c r="C277" s="9" t="s">
        <v>295</v>
      </c>
      <c r="D277" s="9"/>
      <c r="E277" s="18" t="s">
        <v>97</v>
      </c>
      <c r="F277" s="140" t="s">
        <v>245</v>
      </c>
      <c r="G277" s="312">
        <v>0</v>
      </c>
      <c r="H277" s="247" t="s">
        <v>467</v>
      </c>
      <c r="I277" s="219"/>
      <c r="J277" s="219"/>
      <c r="K277" s="219"/>
      <c r="L277" s="219"/>
      <c r="M277" s="219"/>
      <c r="N277" s="219"/>
      <c r="O277" s="219"/>
      <c r="P277" s="219"/>
      <c r="Q277" s="219"/>
      <c r="R277" s="219"/>
      <c r="S277" s="219"/>
      <c r="T277" s="219"/>
      <c r="U277" s="101"/>
      <c r="V277" s="101"/>
      <c r="W277" s="101"/>
      <c r="X277" s="101"/>
      <c r="Y277" s="101"/>
    </row>
    <row r="278" spans="1:25">
      <c r="A278" s="206">
        <v>209</v>
      </c>
      <c r="B278" s="36"/>
      <c r="C278" s="9" t="s">
        <v>98</v>
      </c>
      <c r="D278" s="9"/>
      <c r="E278" s="18" t="s">
        <v>99</v>
      </c>
      <c r="F278" s="140" t="s">
        <v>245</v>
      </c>
      <c r="G278" s="312">
        <f>G257*0.062</f>
        <v>0</v>
      </c>
      <c r="H278" s="367">
        <v>6.2E-2</v>
      </c>
      <c r="I278" s="219"/>
      <c r="J278" s="219"/>
      <c r="K278" s="219"/>
      <c r="L278" s="219"/>
      <c r="M278" s="219"/>
      <c r="N278" s="219"/>
      <c r="O278" s="219"/>
      <c r="P278" s="219"/>
      <c r="Q278" s="219"/>
      <c r="R278" s="219"/>
      <c r="S278" s="219"/>
      <c r="T278" s="219"/>
      <c r="U278" s="101"/>
      <c r="V278" s="101"/>
      <c r="W278" s="101"/>
      <c r="X278" s="101"/>
      <c r="Y278" s="101"/>
    </row>
    <row r="279" spans="1:25">
      <c r="A279" s="206">
        <v>210</v>
      </c>
      <c r="B279" s="36"/>
      <c r="C279" s="9" t="s">
        <v>100</v>
      </c>
      <c r="D279" s="9"/>
      <c r="E279" s="18" t="s">
        <v>101</v>
      </c>
      <c r="F279" s="140" t="s">
        <v>245</v>
      </c>
      <c r="G279" s="312">
        <f>G257*0.0145</f>
        <v>0</v>
      </c>
      <c r="H279" s="367">
        <v>1.4500000000000001E-2</v>
      </c>
      <c r="I279" s="219"/>
      <c r="J279" s="219"/>
      <c r="K279" s="219"/>
      <c r="L279" s="219"/>
      <c r="M279" s="219"/>
      <c r="N279" s="219"/>
      <c r="O279" s="219"/>
      <c r="P279" s="219"/>
      <c r="Q279" s="219"/>
      <c r="R279" s="219"/>
      <c r="S279" s="219"/>
      <c r="T279" s="219"/>
      <c r="U279" s="101"/>
      <c r="V279" s="101"/>
      <c r="W279" s="101"/>
      <c r="X279" s="101"/>
      <c r="Y279" s="101"/>
    </row>
    <row r="280" spans="1:25">
      <c r="A280" s="206">
        <v>211</v>
      </c>
      <c r="B280" s="36"/>
      <c r="C280" s="9" t="s">
        <v>219</v>
      </c>
      <c r="D280" s="9"/>
      <c r="E280" s="18" t="s">
        <v>220</v>
      </c>
      <c r="F280" s="140" t="s">
        <v>245</v>
      </c>
      <c r="G280" s="312">
        <f>G257*0.06</f>
        <v>0</v>
      </c>
      <c r="H280" s="247" t="s">
        <v>460</v>
      </c>
      <c r="I280" s="219"/>
      <c r="J280" s="219"/>
      <c r="K280" s="219"/>
      <c r="L280" s="219"/>
      <c r="M280" s="219"/>
      <c r="N280" s="219"/>
      <c r="O280" s="219"/>
      <c r="P280" s="219"/>
      <c r="Q280" s="219"/>
      <c r="R280" s="219"/>
      <c r="S280" s="219"/>
      <c r="T280" s="219"/>
      <c r="U280" s="101"/>
      <c r="V280" s="101"/>
      <c r="W280" s="101"/>
      <c r="X280" s="101"/>
      <c r="Y280" s="101"/>
    </row>
    <row r="281" spans="1:25">
      <c r="A281" s="206">
        <v>212</v>
      </c>
      <c r="B281" s="36"/>
      <c r="C281" s="9" t="s">
        <v>102</v>
      </c>
      <c r="D281" s="9"/>
      <c r="E281" s="18" t="s">
        <v>103</v>
      </c>
      <c r="F281" s="140" t="s">
        <v>245</v>
      </c>
      <c r="G281" s="312">
        <f>G257*0.0098</f>
        <v>0</v>
      </c>
      <c r="H281" s="367">
        <v>9.7999999999999997E-3</v>
      </c>
      <c r="I281" s="219"/>
      <c r="J281" s="219"/>
      <c r="K281" s="219"/>
      <c r="L281" s="219"/>
      <c r="M281" s="219"/>
      <c r="N281" s="219"/>
      <c r="O281" s="219"/>
      <c r="P281" s="219"/>
      <c r="Q281" s="219"/>
      <c r="R281" s="219"/>
      <c r="S281" s="219"/>
      <c r="T281" s="219"/>
      <c r="U281" s="101"/>
      <c r="V281" s="101"/>
      <c r="W281" s="101"/>
      <c r="X281" s="101"/>
      <c r="Y281" s="101"/>
    </row>
    <row r="282" spans="1:25">
      <c r="A282" s="206">
        <v>213</v>
      </c>
      <c r="B282" s="36"/>
      <c r="C282" s="9" t="s">
        <v>104</v>
      </c>
      <c r="D282" s="9"/>
      <c r="E282" s="18" t="s">
        <v>105</v>
      </c>
      <c r="F282" s="140" t="s">
        <v>245</v>
      </c>
      <c r="G282" s="312">
        <f>G257*0.0075</f>
        <v>0</v>
      </c>
      <c r="H282" s="367">
        <v>7.4999999999999997E-3</v>
      </c>
      <c r="I282" s="219"/>
      <c r="J282" s="219"/>
      <c r="K282" s="219"/>
      <c r="L282" s="219"/>
      <c r="M282" s="219"/>
      <c r="N282" s="219"/>
      <c r="O282" s="219"/>
      <c r="P282" s="219"/>
      <c r="Q282" s="219"/>
      <c r="R282" s="219"/>
      <c r="S282" s="219"/>
      <c r="T282" s="219"/>
      <c r="U282" s="101"/>
      <c r="V282" s="101"/>
      <c r="W282" s="101"/>
      <c r="X282" s="101"/>
      <c r="Y282" s="101"/>
    </row>
    <row r="283" spans="1:25">
      <c r="A283" s="206">
        <v>214</v>
      </c>
      <c r="B283" s="36"/>
      <c r="C283" s="85" t="s">
        <v>283</v>
      </c>
      <c r="D283" s="9"/>
      <c r="E283" s="18"/>
      <c r="F283" s="140"/>
      <c r="G283" s="312"/>
      <c r="H283" s="247"/>
      <c r="I283" s="219"/>
      <c r="J283" s="219"/>
      <c r="K283" s="219"/>
      <c r="L283" s="219"/>
      <c r="M283" s="219"/>
      <c r="N283" s="219"/>
      <c r="O283" s="219"/>
      <c r="P283" s="219"/>
      <c r="Q283" s="219"/>
      <c r="R283" s="219"/>
      <c r="S283" s="219"/>
      <c r="T283" s="219"/>
      <c r="U283" s="101"/>
      <c r="V283" s="101"/>
      <c r="W283" s="101"/>
      <c r="X283" s="101"/>
      <c r="Y283" s="101"/>
    </row>
    <row r="284" spans="1:25">
      <c r="A284" s="206">
        <v>215</v>
      </c>
      <c r="B284" s="36"/>
      <c r="C284" s="85"/>
      <c r="D284" s="9"/>
      <c r="E284" s="18"/>
      <c r="F284" s="140"/>
      <c r="G284" s="312"/>
      <c r="H284" s="247"/>
      <c r="I284" s="219"/>
      <c r="J284" s="219"/>
      <c r="K284" s="219"/>
      <c r="L284" s="219"/>
      <c r="M284" s="219"/>
      <c r="N284" s="219"/>
      <c r="O284" s="219"/>
      <c r="P284" s="219"/>
      <c r="Q284" s="219"/>
      <c r="R284" s="219"/>
      <c r="S284" s="219"/>
      <c r="T284" s="219"/>
      <c r="U284" s="101"/>
      <c r="V284" s="101"/>
      <c r="W284" s="101"/>
      <c r="X284" s="101"/>
      <c r="Y284" s="101"/>
    </row>
    <row r="285" spans="1:25">
      <c r="A285" s="206">
        <v>216</v>
      </c>
      <c r="B285" s="36"/>
      <c r="C285" s="9"/>
      <c r="D285" s="9"/>
      <c r="E285" s="18"/>
      <c r="F285" s="140"/>
      <c r="G285" s="312"/>
      <c r="H285" s="247"/>
      <c r="I285" s="219"/>
      <c r="J285" s="219"/>
      <c r="K285" s="219"/>
      <c r="L285" s="219"/>
      <c r="M285" s="219"/>
      <c r="N285" s="219"/>
      <c r="O285" s="219"/>
      <c r="P285" s="219"/>
      <c r="Q285" s="219"/>
      <c r="R285" s="219"/>
      <c r="S285" s="219"/>
      <c r="T285" s="219"/>
      <c r="U285" s="101"/>
      <c r="V285" s="101"/>
      <c r="W285" s="101"/>
      <c r="X285" s="101"/>
      <c r="Y285" s="101"/>
    </row>
    <row r="286" spans="1:25">
      <c r="A286" s="207">
        <v>217</v>
      </c>
      <c r="B286" s="87" t="s">
        <v>175</v>
      </c>
      <c r="C286" s="51"/>
      <c r="D286" s="51"/>
      <c r="E286" s="49"/>
      <c r="F286" s="144"/>
      <c r="G286" s="320">
        <f>SUM(G257:G285)</f>
        <v>278361</v>
      </c>
      <c r="H286" s="250"/>
      <c r="I286" s="219"/>
      <c r="J286" s="219"/>
      <c r="K286" s="219"/>
      <c r="L286" s="219"/>
      <c r="M286" s="219"/>
      <c r="N286" s="219"/>
      <c r="O286" s="219"/>
      <c r="P286" s="219"/>
      <c r="Q286" s="219"/>
      <c r="R286" s="219"/>
      <c r="S286" s="219"/>
      <c r="T286" s="219"/>
      <c r="U286" s="101"/>
      <c r="V286" s="101"/>
      <c r="W286" s="101"/>
      <c r="X286" s="101"/>
      <c r="Y286" s="101"/>
    </row>
    <row r="287" spans="1:25">
      <c r="A287" s="206"/>
      <c r="B287" s="36"/>
      <c r="C287" s="9"/>
      <c r="D287" s="9"/>
      <c r="E287" s="61"/>
      <c r="F287" s="139"/>
      <c r="G287" s="317"/>
      <c r="H287" s="246"/>
      <c r="I287" s="219"/>
      <c r="J287" s="219"/>
      <c r="K287" s="219"/>
      <c r="L287" s="219"/>
      <c r="M287" s="219"/>
      <c r="N287" s="219"/>
      <c r="O287" s="219"/>
      <c r="P287" s="219"/>
      <c r="Q287" s="219"/>
      <c r="R287" s="219"/>
      <c r="S287" s="219"/>
      <c r="T287" s="219"/>
      <c r="U287" s="101"/>
      <c r="V287" s="101"/>
      <c r="W287" s="101"/>
      <c r="X287" s="101"/>
      <c r="Y287" s="101"/>
    </row>
    <row r="288" spans="1:25" s="4" customFormat="1">
      <c r="A288" s="206"/>
      <c r="B288" s="88" t="s">
        <v>29</v>
      </c>
      <c r="C288" s="53"/>
      <c r="D288" s="53"/>
      <c r="E288" s="77"/>
      <c r="F288" s="151"/>
      <c r="G288" s="333"/>
      <c r="H288" s="265"/>
      <c r="I288" s="226"/>
      <c r="J288" s="226"/>
      <c r="K288" s="226"/>
      <c r="L288" s="226"/>
      <c r="M288" s="226"/>
      <c r="N288" s="226"/>
      <c r="O288" s="226"/>
      <c r="P288" s="226"/>
      <c r="Q288" s="226"/>
      <c r="R288" s="226"/>
      <c r="S288" s="226"/>
      <c r="T288" s="226"/>
      <c r="U288" s="222"/>
      <c r="V288" s="222"/>
      <c r="W288" s="222"/>
      <c r="X288" s="222"/>
      <c r="Y288" s="222"/>
    </row>
    <row r="289" spans="1:25">
      <c r="A289" s="206">
        <v>218</v>
      </c>
      <c r="B289" s="36"/>
      <c r="C289" s="9" t="s">
        <v>83</v>
      </c>
      <c r="D289" s="9"/>
      <c r="E289" s="18" t="s">
        <v>246</v>
      </c>
      <c r="F289" s="140" t="s">
        <v>247</v>
      </c>
      <c r="G289" s="312">
        <f>'Assumptions Expenses'!C38</f>
        <v>210000</v>
      </c>
      <c r="H289" s="247" t="s">
        <v>528</v>
      </c>
      <c r="I289" s="219"/>
      <c r="J289" s="219"/>
      <c r="K289" s="219"/>
      <c r="L289" s="219"/>
      <c r="M289" s="219"/>
      <c r="N289" s="219"/>
      <c r="O289" s="219"/>
      <c r="P289" s="219"/>
      <c r="Q289" s="219"/>
      <c r="R289" s="219"/>
      <c r="S289" s="219"/>
      <c r="T289" s="219"/>
      <c r="U289" s="101"/>
      <c r="V289" s="101"/>
      <c r="W289" s="101"/>
      <c r="X289" s="101"/>
      <c r="Y289" s="101"/>
    </row>
    <row r="290" spans="1:25">
      <c r="A290" s="206"/>
      <c r="B290" s="36"/>
      <c r="C290" s="9" t="s">
        <v>176</v>
      </c>
      <c r="D290" s="9"/>
      <c r="E290" s="61"/>
      <c r="F290" s="139"/>
      <c r="G290" s="317"/>
      <c r="H290" s="246"/>
      <c r="I290" s="219"/>
      <c r="J290" s="219"/>
      <c r="K290" s="219"/>
      <c r="L290" s="219"/>
      <c r="M290" s="219"/>
      <c r="N290" s="219"/>
      <c r="O290" s="219"/>
      <c r="P290" s="219"/>
      <c r="Q290" s="219"/>
      <c r="R290" s="219"/>
      <c r="S290" s="219"/>
      <c r="T290" s="219"/>
      <c r="U290" s="101"/>
      <c r="V290" s="101"/>
      <c r="W290" s="101"/>
      <c r="X290" s="101"/>
      <c r="Y290" s="101"/>
    </row>
    <row r="291" spans="1:25">
      <c r="A291" s="206">
        <v>219</v>
      </c>
      <c r="B291" s="36"/>
      <c r="C291" s="9" t="s">
        <v>33</v>
      </c>
      <c r="D291" s="9" t="s">
        <v>299</v>
      </c>
      <c r="E291" s="18" t="s">
        <v>222</v>
      </c>
      <c r="F291" s="140" t="s">
        <v>247</v>
      </c>
      <c r="G291" s="312">
        <v>0</v>
      </c>
      <c r="H291" s="247"/>
      <c r="I291" s="219"/>
      <c r="J291" s="219"/>
      <c r="K291" s="219"/>
      <c r="L291" s="219"/>
      <c r="M291" s="219"/>
      <c r="N291" s="219"/>
      <c r="O291" s="219"/>
      <c r="P291" s="219"/>
      <c r="Q291" s="219"/>
      <c r="R291" s="219"/>
      <c r="S291" s="219"/>
      <c r="T291" s="219"/>
      <c r="U291" s="101"/>
      <c r="V291" s="101"/>
      <c r="W291" s="101"/>
      <c r="X291" s="101"/>
      <c r="Y291" s="101"/>
    </row>
    <row r="292" spans="1:25">
      <c r="A292" s="206">
        <v>220</v>
      </c>
      <c r="B292" s="36"/>
      <c r="C292" s="9"/>
      <c r="D292" s="9" t="s">
        <v>85</v>
      </c>
      <c r="E292" s="18" t="s">
        <v>86</v>
      </c>
      <c r="F292" s="140" t="s">
        <v>177</v>
      </c>
      <c r="G292" s="312">
        <v>0</v>
      </c>
      <c r="H292" s="247"/>
      <c r="I292" s="219"/>
      <c r="J292" s="219"/>
      <c r="K292" s="219"/>
      <c r="L292" s="219"/>
      <c r="M292" s="219"/>
      <c r="N292" s="219"/>
      <c r="O292" s="219"/>
      <c r="P292" s="219"/>
      <c r="Q292" s="219"/>
      <c r="R292" s="219"/>
      <c r="S292" s="219"/>
      <c r="T292" s="219"/>
      <c r="U292" s="101"/>
      <c r="V292" s="101"/>
      <c r="W292" s="101"/>
      <c r="X292" s="101"/>
      <c r="Y292" s="101"/>
    </row>
    <row r="293" spans="1:25">
      <c r="A293" s="206">
        <v>221</v>
      </c>
      <c r="B293" s="36"/>
      <c r="C293" s="9"/>
      <c r="D293" s="9" t="s">
        <v>178</v>
      </c>
      <c r="E293" s="18" t="s">
        <v>179</v>
      </c>
      <c r="F293" s="140" t="s">
        <v>177</v>
      </c>
      <c r="G293" s="312">
        <v>0</v>
      </c>
      <c r="H293" s="247"/>
      <c r="I293" s="219"/>
      <c r="J293" s="219"/>
      <c r="K293" s="219"/>
      <c r="L293" s="219"/>
      <c r="M293" s="219"/>
      <c r="N293" s="219"/>
      <c r="O293" s="219"/>
      <c r="P293" s="219"/>
      <c r="Q293" s="219"/>
      <c r="R293" s="219"/>
      <c r="S293" s="219"/>
      <c r="T293" s="219"/>
      <c r="U293" s="101"/>
      <c r="V293" s="101"/>
      <c r="W293" s="101"/>
      <c r="X293" s="101"/>
      <c r="Y293" s="101"/>
    </row>
    <row r="294" spans="1:25">
      <c r="A294" s="206">
        <v>222</v>
      </c>
      <c r="B294" s="36"/>
      <c r="C294" s="9"/>
      <c r="D294" s="9" t="s">
        <v>113</v>
      </c>
      <c r="E294" s="18" t="s">
        <v>114</v>
      </c>
      <c r="F294" s="140" t="s">
        <v>177</v>
      </c>
      <c r="G294" s="312">
        <v>0</v>
      </c>
      <c r="H294" s="247"/>
      <c r="I294" s="219"/>
      <c r="J294" s="219"/>
      <c r="K294" s="219"/>
      <c r="L294" s="219"/>
      <c r="M294" s="219"/>
      <c r="N294" s="219"/>
      <c r="O294" s="219"/>
      <c r="P294" s="219"/>
      <c r="Q294" s="219"/>
      <c r="R294" s="219"/>
      <c r="S294" s="219"/>
      <c r="T294" s="219"/>
      <c r="U294" s="101"/>
      <c r="V294" s="101"/>
      <c r="W294" s="101"/>
      <c r="X294" s="101"/>
      <c r="Y294" s="101"/>
    </row>
    <row r="295" spans="1:25">
      <c r="A295" s="206">
        <v>223</v>
      </c>
      <c r="B295" s="36"/>
      <c r="C295" s="9"/>
      <c r="D295" s="9" t="s">
        <v>110</v>
      </c>
      <c r="E295" s="18" t="s">
        <v>90</v>
      </c>
      <c r="F295" s="140" t="s">
        <v>177</v>
      </c>
      <c r="G295" s="312">
        <v>0</v>
      </c>
      <c r="H295" s="247"/>
      <c r="I295" s="219"/>
      <c r="J295" s="219"/>
      <c r="K295" s="219"/>
      <c r="L295" s="219"/>
      <c r="M295" s="219"/>
      <c r="N295" s="219"/>
      <c r="O295" s="219"/>
      <c r="P295" s="219"/>
      <c r="Q295" s="219"/>
      <c r="R295" s="219"/>
      <c r="S295" s="219"/>
      <c r="T295" s="219"/>
      <c r="U295" s="101"/>
      <c r="V295" s="101"/>
      <c r="W295" s="101"/>
      <c r="X295" s="101"/>
      <c r="Y295" s="101"/>
    </row>
    <row r="296" spans="1:25">
      <c r="A296" s="206">
        <v>224</v>
      </c>
      <c r="B296" s="36"/>
      <c r="C296" s="9"/>
      <c r="D296" s="9" t="s">
        <v>180</v>
      </c>
      <c r="E296" s="18" t="s">
        <v>115</v>
      </c>
      <c r="F296" s="140" t="s">
        <v>177</v>
      </c>
      <c r="G296" s="312">
        <v>0</v>
      </c>
      <c r="H296" s="247"/>
      <c r="I296" s="219"/>
      <c r="J296" s="219"/>
      <c r="K296" s="219"/>
      <c r="L296" s="219"/>
      <c r="M296" s="219"/>
      <c r="N296" s="219"/>
      <c r="O296" s="219"/>
      <c r="P296" s="219"/>
      <c r="Q296" s="219"/>
      <c r="R296" s="219"/>
      <c r="S296" s="219"/>
      <c r="T296" s="219"/>
      <c r="U296" s="101"/>
      <c r="V296" s="101"/>
      <c r="W296" s="101"/>
      <c r="X296" s="101"/>
      <c r="Y296" s="101"/>
    </row>
    <row r="297" spans="1:25">
      <c r="A297" s="206">
        <v>225</v>
      </c>
      <c r="B297" s="36"/>
      <c r="C297" s="9"/>
      <c r="D297" s="9" t="s">
        <v>93</v>
      </c>
      <c r="E297" s="18" t="s">
        <v>94</v>
      </c>
      <c r="F297" s="140" t="s">
        <v>177</v>
      </c>
      <c r="G297" s="312">
        <v>0</v>
      </c>
      <c r="H297" s="247"/>
      <c r="I297" s="219"/>
      <c r="J297" s="219"/>
      <c r="K297" s="219"/>
      <c r="L297" s="219"/>
      <c r="M297" s="219"/>
      <c r="N297" s="219"/>
      <c r="O297" s="219"/>
      <c r="P297" s="219"/>
      <c r="Q297" s="219"/>
      <c r="R297" s="219"/>
      <c r="S297" s="219"/>
      <c r="T297" s="219"/>
      <c r="U297" s="101"/>
      <c r="V297" s="101"/>
      <c r="W297" s="101"/>
      <c r="X297" s="101"/>
      <c r="Y297" s="101"/>
    </row>
    <row r="298" spans="1:25">
      <c r="A298" s="206">
        <v>226</v>
      </c>
      <c r="B298" s="36"/>
      <c r="C298" s="9"/>
      <c r="D298" s="9" t="s">
        <v>95</v>
      </c>
      <c r="E298" s="18" t="s">
        <v>96</v>
      </c>
      <c r="F298" s="140" t="s">
        <v>177</v>
      </c>
      <c r="G298" s="312">
        <v>0</v>
      </c>
      <c r="H298" s="247"/>
      <c r="I298" s="219"/>
      <c r="J298" s="219"/>
      <c r="K298" s="219"/>
      <c r="L298" s="219"/>
      <c r="M298" s="219"/>
      <c r="N298" s="219"/>
      <c r="O298" s="219"/>
      <c r="P298" s="219"/>
      <c r="Q298" s="219"/>
      <c r="R298" s="219"/>
      <c r="S298" s="219"/>
      <c r="T298" s="219"/>
      <c r="U298" s="101"/>
      <c r="V298" s="101"/>
      <c r="W298" s="101"/>
      <c r="X298" s="101"/>
      <c r="Y298" s="101"/>
    </row>
    <row r="299" spans="1:25">
      <c r="A299" s="206">
        <v>227</v>
      </c>
      <c r="B299" s="36"/>
      <c r="C299" s="9"/>
      <c r="D299" s="9" t="s">
        <v>295</v>
      </c>
      <c r="E299" s="18" t="s">
        <v>97</v>
      </c>
      <c r="F299" s="140" t="s">
        <v>247</v>
      </c>
      <c r="G299" s="312">
        <v>0</v>
      </c>
      <c r="H299" s="247"/>
      <c r="I299" s="219"/>
      <c r="J299" s="219"/>
      <c r="K299" s="219"/>
      <c r="L299" s="219"/>
      <c r="M299" s="219"/>
      <c r="N299" s="219"/>
      <c r="O299" s="219"/>
      <c r="P299" s="219"/>
      <c r="Q299" s="219"/>
      <c r="R299" s="219"/>
      <c r="S299" s="219"/>
      <c r="T299" s="219"/>
      <c r="U299" s="101"/>
      <c r="V299" s="101"/>
      <c r="W299" s="101"/>
      <c r="X299" s="101"/>
      <c r="Y299" s="101"/>
    </row>
    <row r="300" spans="1:25">
      <c r="A300" s="206">
        <v>228</v>
      </c>
      <c r="B300" s="36"/>
      <c r="C300" s="9"/>
      <c r="D300" s="9" t="s">
        <v>98</v>
      </c>
      <c r="E300" s="18" t="s">
        <v>99</v>
      </c>
      <c r="F300" s="140" t="s">
        <v>247</v>
      </c>
      <c r="G300" s="312">
        <v>0</v>
      </c>
      <c r="H300" s="247"/>
      <c r="I300" s="219"/>
      <c r="J300" s="219"/>
      <c r="K300" s="219"/>
      <c r="L300" s="219"/>
      <c r="M300" s="219"/>
      <c r="N300" s="219"/>
      <c r="O300" s="219"/>
      <c r="P300" s="219"/>
      <c r="Q300" s="219"/>
      <c r="R300" s="219"/>
      <c r="S300" s="219"/>
      <c r="T300" s="219"/>
      <c r="U300" s="101"/>
      <c r="V300" s="101"/>
      <c r="W300" s="101"/>
      <c r="X300" s="101"/>
      <c r="Y300" s="101"/>
    </row>
    <row r="301" spans="1:25">
      <c r="A301" s="206">
        <v>229</v>
      </c>
      <c r="B301" s="36"/>
      <c r="C301" s="9"/>
      <c r="D301" s="9" t="s">
        <v>100</v>
      </c>
      <c r="E301" s="18" t="s">
        <v>101</v>
      </c>
      <c r="F301" s="140" t="s">
        <v>247</v>
      </c>
      <c r="G301" s="312">
        <v>0</v>
      </c>
      <c r="H301" s="247"/>
      <c r="I301" s="219"/>
      <c r="J301" s="219"/>
      <c r="K301" s="219"/>
      <c r="L301" s="219"/>
      <c r="M301" s="219"/>
      <c r="N301" s="219"/>
      <c r="O301" s="219"/>
      <c r="P301" s="219"/>
      <c r="Q301" s="219"/>
      <c r="R301" s="219"/>
      <c r="S301" s="219"/>
      <c r="T301" s="219"/>
      <c r="U301" s="101"/>
      <c r="V301" s="101"/>
      <c r="W301" s="101"/>
      <c r="X301" s="101"/>
      <c r="Y301" s="101"/>
    </row>
    <row r="302" spans="1:25">
      <c r="A302" s="206">
        <v>230</v>
      </c>
      <c r="B302" s="36"/>
      <c r="C302" s="9"/>
      <c r="D302" s="9" t="s">
        <v>219</v>
      </c>
      <c r="E302" s="18" t="s">
        <v>220</v>
      </c>
      <c r="F302" s="140" t="s">
        <v>247</v>
      </c>
      <c r="G302" s="312">
        <v>0</v>
      </c>
      <c r="H302" s="247"/>
      <c r="I302" s="219"/>
      <c r="J302" s="219"/>
      <c r="K302" s="219"/>
      <c r="L302" s="219"/>
      <c r="M302" s="219"/>
      <c r="N302" s="219"/>
      <c r="O302" s="219"/>
      <c r="P302" s="219"/>
      <c r="Q302" s="219"/>
      <c r="R302" s="219"/>
      <c r="S302" s="219"/>
      <c r="T302" s="219"/>
      <c r="U302" s="101"/>
      <c r="V302" s="101"/>
      <c r="W302" s="101"/>
      <c r="X302" s="101"/>
      <c r="Y302" s="101"/>
    </row>
    <row r="303" spans="1:25">
      <c r="A303" s="206">
        <v>231</v>
      </c>
      <c r="B303" s="36"/>
      <c r="C303" s="9"/>
      <c r="D303" s="9" t="s">
        <v>102</v>
      </c>
      <c r="E303" s="18" t="s">
        <v>103</v>
      </c>
      <c r="F303" s="140" t="s">
        <v>247</v>
      </c>
      <c r="G303" s="312">
        <v>0</v>
      </c>
      <c r="H303" s="247"/>
      <c r="I303" s="219"/>
      <c r="J303" s="219"/>
      <c r="K303" s="219"/>
      <c r="L303" s="219"/>
      <c r="M303" s="219"/>
      <c r="N303" s="219"/>
      <c r="O303" s="219"/>
      <c r="P303" s="219"/>
      <c r="Q303" s="219"/>
      <c r="R303" s="219"/>
      <c r="S303" s="219"/>
      <c r="T303" s="219"/>
      <c r="U303" s="101"/>
      <c r="V303" s="101"/>
      <c r="W303" s="101"/>
      <c r="X303" s="101"/>
      <c r="Y303" s="101"/>
    </row>
    <row r="304" spans="1:25">
      <c r="A304" s="206">
        <v>232</v>
      </c>
      <c r="B304" s="36"/>
      <c r="C304" s="9"/>
      <c r="D304" s="9" t="s">
        <v>104</v>
      </c>
      <c r="E304" s="18" t="s">
        <v>105</v>
      </c>
      <c r="F304" s="140" t="s">
        <v>247</v>
      </c>
      <c r="G304" s="312">
        <v>0</v>
      </c>
      <c r="H304" s="247"/>
      <c r="I304" s="219"/>
      <c r="J304" s="219"/>
      <c r="K304" s="219"/>
      <c r="L304" s="219"/>
      <c r="M304" s="219"/>
      <c r="N304" s="219"/>
      <c r="O304" s="219"/>
      <c r="P304" s="219"/>
      <c r="Q304" s="219"/>
      <c r="R304" s="219"/>
      <c r="S304" s="219"/>
      <c r="T304" s="219"/>
      <c r="U304" s="101"/>
      <c r="V304" s="101"/>
      <c r="W304" s="101"/>
      <c r="X304" s="101"/>
      <c r="Y304" s="101"/>
    </row>
    <row r="305" spans="1:25">
      <c r="A305" s="206">
        <v>233</v>
      </c>
      <c r="B305" s="36"/>
      <c r="C305" s="85" t="s">
        <v>283</v>
      </c>
      <c r="D305" s="9"/>
      <c r="E305" s="18"/>
      <c r="F305" s="140"/>
      <c r="G305" s="312"/>
      <c r="H305" s="247"/>
      <c r="I305" s="219"/>
      <c r="J305" s="219"/>
      <c r="K305" s="219"/>
      <c r="L305" s="219"/>
      <c r="M305" s="219"/>
      <c r="N305" s="219"/>
      <c r="O305" s="219"/>
      <c r="P305" s="219"/>
      <c r="Q305" s="219"/>
      <c r="R305" s="219"/>
      <c r="S305" s="219"/>
      <c r="T305" s="219"/>
      <c r="U305" s="101"/>
      <c r="V305" s="101"/>
      <c r="W305" s="101"/>
      <c r="X305" s="101"/>
      <c r="Y305" s="101"/>
    </row>
    <row r="306" spans="1:25">
      <c r="A306" s="206">
        <v>234</v>
      </c>
      <c r="B306" s="36"/>
      <c r="C306" s="85"/>
      <c r="D306" s="9"/>
      <c r="E306" s="18"/>
      <c r="F306" s="140"/>
      <c r="G306" s="312"/>
      <c r="H306" s="247"/>
      <c r="I306" s="219"/>
      <c r="J306" s="219"/>
      <c r="K306" s="219"/>
      <c r="L306" s="219"/>
      <c r="M306" s="219"/>
      <c r="N306" s="219"/>
      <c r="O306" s="219"/>
      <c r="P306" s="219"/>
      <c r="Q306" s="219"/>
      <c r="R306" s="219"/>
      <c r="S306" s="219"/>
      <c r="T306" s="219"/>
      <c r="U306" s="101"/>
      <c r="V306" s="101"/>
      <c r="W306" s="101"/>
      <c r="X306" s="101"/>
      <c r="Y306" s="101"/>
    </row>
    <row r="307" spans="1:25">
      <c r="A307" s="206">
        <v>235</v>
      </c>
      <c r="B307" s="83"/>
      <c r="D307" s="13"/>
      <c r="E307" s="14"/>
      <c r="F307" s="148"/>
      <c r="G307" s="330"/>
      <c r="H307" s="262"/>
      <c r="I307" s="219"/>
      <c r="J307" s="219"/>
      <c r="K307" s="219"/>
      <c r="L307" s="219"/>
      <c r="M307" s="219"/>
      <c r="N307" s="219"/>
      <c r="O307" s="219"/>
      <c r="P307" s="219"/>
      <c r="Q307" s="219"/>
      <c r="R307" s="219"/>
      <c r="S307" s="219"/>
      <c r="T307" s="219"/>
      <c r="U307" s="101"/>
      <c r="V307" s="101"/>
      <c r="W307" s="101"/>
      <c r="X307" s="101"/>
      <c r="Y307" s="101"/>
    </row>
    <row r="308" spans="1:25">
      <c r="A308" s="207">
        <v>236</v>
      </c>
      <c r="B308" s="87" t="s">
        <v>181</v>
      </c>
      <c r="C308" s="51"/>
      <c r="D308" s="51"/>
      <c r="E308" s="49"/>
      <c r="F308" s="144"/>
      <c r="G308" s="320">
        <f>SUM(G289:G307)</f>
        <v>210000</v>
      </c>
      <c r="H308" s="250"/>
      <c r="I308" s="219"/>
      <c r="J308" s="219"/>
      <c r="K308" s="219"/>
      <c r="L308" s="219"/>
      <c r="M308" s="219"/>
      <c r="N308" s="219"/>
      <c r="O308" s="219"/>
      <c r="P308" s="219"/>
      <c r="Q308" s="219"/>
      <c r="R308" s="219"/>
      <c r="S308" s="219"/>
      <c r="T308" s="219"/>
      <c r="U308" s="101"/>
      <c r="V308" s="101"/>
      <c r="W308" s="101"/>
      <c r="X308" s="101"/>
      <c r="Y308" s="101"/>
    </row>
    <row r="309" spans="1:25">
      <c r="A309" s="206"/>
      <c r="B309" s="35"/>
      <c r="C309" s="12"/>
      <c r="D309" s="12"/>
      <c r="E309" s="71"/>
      <c r="F309" s="138"/>
      <c r="G309" s="316"/>
      <c r="H309" s="245"/>
      <c r="I309" s="219"/>
      <c r="J309" s="219"/>
      <c r="K309" s="219"/>
      <c r="L309" s="219"/>
      <c r="M309" s="219"/>
      <c r="N309" s="219"/>
      <c r="O309" s="219"/>
      <c r="P309" s="219"/>
      <c r="Q309" s="219"/>
      <c r="R309" s="219"/>
      <c r="S309" s="219"/>
      <c r="T309" s="219"/>
      <c r="U309" s="101"/>
      <c r="V309" s="101"/>
      <c r="W309" s="101"/>
      <c r="X309" s="101"/>
      <c r="Y309" s="101"/>
    </row>
    <row r="310" spans="1:25" s="4" customFormat="1">
      <c r="A310" s="206"/>
      <c r="B310" s="88" t="s">
        <v>30</v>
      </c>
      <c r="C310" s="53"/>
      <c r="D310" s="53"/>
      <c r="E310" s="77"/>
      <c r="F310" s="151"/>
      <c r="G310" s="333"/>
      <c r="H310" s="265"/>
      <c r="I310" s="226"/>
      <c r="J310" s="226"/>
      <c r="K310" s="226"/>
      <c r="L310" s="226"/>
      <c r="M310" s="226"/>
      <c r="N310" s="226"/>
      <c r="O310" s="226"/>
      <c r="P310" s="226"/>
      <c r="Q310" s="226"/>
      <c r="R310" s="226"/>
      <c r="S310" s="226"/>
      <c r="T310" s="226"/>
      <c r="U310" s="222"/>
      <c r="V310" s="222"/>
      <c r="W310" s="222"/>
      <c r="X310" s="222"/>
      <c r="Y310" s="222"/>
    </row>
    <row r="311" spans="1:25">
      <c r="A311" s="206"/>
      <c r="B311" s="36"/>
      <c r="C311" s="106" t="s">
        <v>9</v>
      </c>
      <c r="D311" s="9"/>
      <c r="E311" s="77"/>
      <c r="F311" s="151"/>
      <c r="G311" s="333"/>
      <c r="H311" s="265"/>
      <c r="I311" s="219"/>
      <c r="J311" s="219"/>
      <c r="K311" s="219"/>
      <c r="L311" s="219"/>
      <c r="M311" s="219"/>
      <c r="N311" s="219"/>
      <c r="O311" s="219"/>
      <c r="P311" s="219"/>
      <c r="Q311" s="219"/>
      <c r="R311" s="219"/>
      <c r="S311" s="219"/>
      <c r="T311" s="219"/>
      <c r="U311" s="101"/>
      <c r="V311" s="101"/>
      <c r="W311" s="101"/>
      <c r="X311" s="101"/>
      <c r="Y311" s="101"/>
    </row>
    <row r="312" spans="1:25">
      <c r="A312" s="206">
        <v>237</v>
      </c>
      <c r="B312" s="36"/>
      <c r="C312" s="9"/>
      <c r="D312" s="9" t="s">
        <v>83</v>
      </c>
      <c r="E312" s="18" t="s">
        <v>84</v>
      </c>
      <c r="F312" s="140" t="s">
        <v>226</v>
      </c>
      <c r="G312" s="312">
        <f>SUM(G21,G33,G65)*0.02*0</f>
        <v>0</v>
      </c>
      <c r="H312" s="247" t="s">
        <v>507</v>
      </c>
      <c r="I312" s="219"/>
      <c r="J312" s="219"/>
      <c r="K312" s="219"/>
      <c r="L312" s="219"/>
      <c r="M312" s="219"/>
      <c r="N312" s="219"/>
      <c r="O312" s="219"/>
      <c r="P312" s="219"/>
      <c r="Q312" s="219"/>
      <c r="R312" s="219"/>
      <c r="S312" s="219"/>
      <c r="T312" s="219"/>
      <c r="U312" s="101"/>
      <c r="V312" s="101"/>
      <c r="W312" s="101"/>
      <c r="X312" s="101"/>
      <c r="Y312" s="101"/>
    </row>
    <row r="313" spans="1:25">
      <c r="A313" s="206">
        <v>238</v>
      </c>
      <c r="B313" s="36"/>
      <c r="C313" s="9"/>
      <c r="D313" s="9" t="s">
        <v>184</v>
      </c>
      <c r="E313" s="18" t="s">
        <v>185</v>
      </c>
      <c r="F313" s="140">
        <v>2830</v>
      </c>
      <c r="G313" s="312">
        <f>SUM('Assumptions Expenses'!D2:D28)*54</f>
        <v>1944</v>
      </c>
      <c r="H313" s="247" t="s">
        <v>474</v>
      </c>
      <c r="I313" s="219"/>
      <c r="J313" s="219"/>
      <c r="K313" s="219"/>
      <c r="L313" s="219"/>
      <c r="M313" s="219"/>
      <c r="N313" s="219"/>
      <c r="O313" s="219"/>
      <c r="P313" s="219"/>
      <c r="Q313" s="219"/>
      <c r="R313" s="219"/>
      <c r="S313" s="219"/>
      <c r="T313" s="219"/>
      <c r="U313" s="101"/>
      <c r="V313" s="101"/>
      <c r="W313" s="101"/>
      <c r="X313" s="101"/>
      <c r="Y313" s="101"/>
    </row>
    <row r="314" spans="1:25">
      <c r="A314" s="206">
        <v>239</v>
      </c>
      <c r="B314" s="36"/>
      <c r="C314" s="9"/>
      <c r="D314" s="9" t="s">
        <v>131</v>
      </c>
      <c r="E314" s="18" t="s">
        <v>132</v>
      </c>
      <c r="F314" s="140" t="s">
        <v>183</v>
      </c>
      <c r="G314" s="312">
        <v>0</v>
      </c>
      <c r="H314" s="247"/>
      <c r="I314" s="219"/>
      <c r="J314" s="219"/>
      <c r="K314" s="219"/>
      <c r="L314" s="219"/>
      <c r="M314" s="219"/>
      <c r="N314" s="219"/>
      <c r="O314" s="219"/>
      <c r="P314" s="219"/>
      <c r="Q314" s="219"/>
      <c r="R314" s="219"/>
      <c r="S314" s="219"/>
      <c r="T314" s="219"/>
      <c r="U314" s="101"/>
      <c r="V314" s="101"/>
      <c r="W314" s="101"/>
      <c r="X314" s="101"/>
      <c r="Y314" s="101"/>
    </row>
    <row r="315" spans="1:25">
      <c r="A315" s="206">
        <v>240</v>
      </c>
      <c r="B315" s="36"/>
      <c r="C315" s="9" t="s">
        <v>186</v>
      </c>
      <c r="D315" s="9"/>
      <c r="E315" s="104" t="s">
        <v>221</v>
      </c>
      <c r="F315" s="154" t="s">
        <v>226</v>
      </c>
      <c r="G315" s="336">
        <f>Assumptions!B18*13.5</f>
        <v>4050</v>
      </c>
      <c r="H315" s="269" t="s">
        <v>519</v>
      </c>
      <c r="I315" s="219"/>
      <c r="J315" s="219"/>
      <c r="K315" s="219"/>
      <c r="L315" s="219"/>
      <c r="M315" s="219"/>
      <c r="N315" s="219"/>
      <c r="O315" s="219"/>
      <c r="P315" s="219"/>
      <c r="Q315" s="219"/>
      <c r="R315" s="219"/>
      <c r="S315" s="219"/>
      <c r="T315" s="219"/>
      <c r="U315" s="101"/>
      <c r="V315" s="101"/>
      <c r="W315" s="101"/>
      <c r="X315" s="101"/>
      <c r="Y315" s="101"/>
    </row>
    <row r="316" spans="1:25">
      <c r="A316" s="206">
        <v>241</v>
      </c>
      <c r="B316" s="36"/>
      <c r="C316" s="9" t="s">
        <v>295</v>
      </c>
      <c r="D316" s="9"/>
      <c r="E316" s="18" t="s">
        <v>97</v>
      </c>
      <c r="F316" s="140" t="s">
        <v>226</v>
      </c>
      <c r="G316" s="312">
        <v>0</v>
      </c>
      <c r="H316" s="247" t="s">
        <v>454</v>
      </c>
      <c r="I316" s="219"/>
      <c r="J316" s="219"/>
      <c r="K316" s="219"/>
      <c r="L316" s="219"/>
      <c r="M316" s="219"/>
      <c r="N316" s="219"/>
      <c r="O316" s="219"/>
      <c r="P316" s="219"/>
      <c r="Q316" s="219"/>
      <c r="R316" s="219"/>
      <c r="S316" s="219"/>
      <c r="T316" s="219"/>
      <c r="U316" s="101"/>
      <c r="V316" s="101"/>
      <c r="W316" s="101"/>
      <c r="X316" s="101"/>
      <c r="Y316" s="101"/>
    </row>
    <row r="317" spans="1:25">
      <c r="A317" s="206">
        <v>242</v>
      </c>
      <c r="B317" s="36"/>
      <c r="C317" s="9" t="s">
        <v>98</v>
      </c>
      <c r="D317" s="9"/>
      <c r="E317" s="18" t="s">
        <v>99</v>
      </c>
      <c r="F317" s="140" t="s">
        <v>226</v>
      </c>
      <c r="G317" s="312">
        <v>0</v>
      </c>
      <c r="H317" s="367">
        <v>6.2E-2</v>
      </c>
      <c r="I317" s="219"/>
      <c r="J317" s="219"/>
      <c r="K317" s="219"/>
      <c r="L317" s="219"/>
      <c r="M317" s="219"/>
      <c r="N317" s="219"/>
      <c r="O317" s="219"/>
      <c r="P317" s="219"/>
      <c r="Q317" s="219"/>
      <c r="R317" s="219"/>
      <c r="S317" s="219"/>
      <c r="T317" s="219"/>
      <c r="U317" s="101"/>
      <c r="V317" s="101"/>
      <c r="W317" s="101"/>
      <c r="X317" s="101"/>
      <c r="Y317" s="101"/>
    </row>
    <row r="318" spans="1:25">
      <c r="A318" s="206">
        <v>243</v>
      </c>
      <c r="B318" s="36"/>
      <c r="C318" s="9" t="s">
        <v>100</v>
      </c>
      <c r="D318" s="9"/>
      <c r="E318" s="18" t="s">
        <v>101</v>
      </c>
      <c r="F318" s="140" t="s">
        <v>226</v>
      </c>
      <c r="G318" s="312">
        <v>0</v>
      </c>
      <c r="H318" s="367">
        <v>1.4500000000000001E-2</v>
      </c>
      <c r="I318" s="219"/>
      <c r="J318" s="219"/>
      <c r="K318" s="219"/>
      <c r="L318" s="219"/>
      <c r="M318" s="219"/>
      <c r="N318" s="219"/>
      <c r="O318" s="219"/>
      <c r="P318" s="219"/>
      <c r="Q318" s="219"/>
      <c r="R318" s="219"/>
      <c r="S318" s="219"/>
      <c r="T318" s="219"/>
      <c r="U318" s="101"/>
      <c r="V318" s="101"/>
      <c r="W318" s="101"/>
      <c r="X318" s="101"/>
      <c r="Y318" s="101"/>
    </row>
    <row r="319" spans="1:25">
      <c r="A319" s="206">
        <v>244</v>
      </c>
      <c r="B319" s="36"/>
      <c r="C319" s="9" t="s">
        <v>219</v>
      </c>
      <c r="D319" s="9"/>
      <c r="E319" s="18" t="s">
        <v>220</v>
      </c>
      <c r="F319" s="140" t="s">
        <v>226</v>
      </c>
      <c r="G319" s="312">
        <v>0</v>
      </c>
      <c r="H319" s="247" t="s">
        <v>460</v>
      </c>
      <c r="I319" s="219"/>
      <c r="J319" s="219"/>
      <c r="K319" s="219"/>
      <c r="L319" s="219"/>
      <c r="M319" s="219"/>
      <c r="N319" s="219"/>
      <c r="O319" s="219"/>
      <c r="P319" s="219"/>
      <c r="Q319" s="219"/>
      <c r="R319" s="219"/>
      <c r="S319" s="219"/>
      <c r="T319" s="219"/>
      <c r="U319" s="101"/>
      <c r="V319" s="101"/>
      <c r="W319" s="101"/>
      <c r="X319" s="101"/>
      <c r="Y319" s="101"/>
    </row>
    <row r="320" spans="1:25">
      <c r="A320" s="206">
        <v>245</v>
      </c>
      <c r="B320" s="36"/>
      <c r="C320" s="9" t="s">
        <v>102</v>
      </c>
      <c r="D320" s="9"/>
      <c r="E320" s="18" t="s">
        <v>103</v>
      </c>
      <c r="F320" s="140" t="s">
        <v>226</v>
      </c>
      <c r="G320" s="312">
        <v>0</v>
      </c>
      <c r="H320" s="367">
        <v>9.7999999999999997E-3</v>
      </c>
      <c r="I320" s="219"/>
      <c r="J320" s="219"/>
      <c r="K320" s="219"/>
      <c r="L320" s="219"/>
      <c r="M320" s="219"/>
      <c r="N320" s="219"/>
      <c r="O320" s="219"/>
      <c r="P320" s="219"/>
      <c r="Q320" s="219"/>
      <c r="R320" s="219"/>
      <c r="S320" s="219"/>
      <c r="T320" s="219"/>
      <c r="U320" s="101"/>
      <c r="V320" s="101"/>
      <c r="W320" s="101"/>
      <c r="X320" s="101"/>
      <c r="Y320" s="101"/>
    </row>
    <row r="321" spans="1:25">
      <c r="A321" s="206">
        <v>246</v>
      </c>
      <c r="B321" s="36"/>
      <c r="C321" s="9" t="s">
        <v>104</v>
      </c>
      <c r="D321" s="9"/>
      <c r="E321" s="18" t="s">
        <v>105</v>
      </c>
      <c r="F321" s="140" t="s">
        <v>226</v>
      </c>
      <c r="G321" s="312">
        <v>0</v>
      </c>
      <c r="H321" s="367">
        <v>7.4999999999999997E-3</v>
      </c>
      <c r="I321" s="219"/>
      <c r="J321" s="219"/>
      <c r="K321" s="219"/>
      <c r="L321" s="219"/>
      <c r="M321" s="219"/>
      <c r="N321" s="219"/>
      <c r="O321" s="219"/>
      <c r="P321" s="219"/>
      <c r="Q321" s="219"/>
      <c r="R321" s="219"/>
      <c r="S321" s="219"/>
      <c r="T321" s="219"/>
      <c r="U321" s="101"/>
      <c r="V321" s="101"/>
      <c r="W321" s="101"/>
      <c r="X321" s="101"/>
      <c r="Y321" s="101"/>
    </row>
    <row r="322" spans="1:25">
      <c r="A322" s="206">
        <v>247</v>
      </c>
      <c r="B322" s="36"/>
      <c r="C322" s="85"/>
      <c r="D322" s="9"/>
      <c r="E322" s="18"/>
      <c r="F322" s="140"/>
      <c r="G322" s="312"/>
      <c r="H322" s="247"/>
      <c r="I322" s="219"/>
      <c r="J322" s="219"/>
      <c r="K322" s="219"/>
      <c r="L322" s="219"/>
      <c r="M322" s="219"/>
      <c r="N322" s="219"/>
      <c r="O322" s="219"/>
      <c r="P322" s="219"/>
      <c r="Q322" s="219"/>
      <c r="R322" s="219"/>
      <c r="S322" s="219"/>
      <c r="T322" s="219"/>
      <c r="U322" s="101"/>
      <c r="V322" s="101"/>
      <c r="W322" s="101"/>
      <c r="X322" s="101"/>
      <c r="Y322" s="101"/>
    </row>
    <row r="323" spans="1:25">
      <c r="A323" s="206">
        <v>248</v>
      </c>
      <c r="B323" s="83"/>
      <c r="D323" s="13"/>
      <c r="E323" s="14"/>
      <c r="F323" s="148"/>
      <c r="G323" s="330"/>
      <c r="H323" s="262"/>
      <c r="I323" s="219"/>
      <c r="J323" s="219"/>
      <c r="K323" s="219"/>
      <c r="L323" s="219"/>
      <c r="M323" s="219"/>
      <c r="N323" s="219"/>
      <c r="O323" s="219"/>
      <c r="P323" s="219"/>
      <c r="Q323" s="219"/>
      <c r="R323" s="219"/>
      <c r="S323" s="219"/>
      <c r="T323" s="219"/>
      <c r="U323" s="101"/>
      <c r="V323" s="101"/>
      <c r="W323" s="101"/>
      <c r="X323" s="101"/>
      <c r="Y323" s="101"/>
    </row>
    <row r="324" spans="1:25">
      <c r="A324" s="207">
        <v>249</v>
      </c>
      <c r="B324" s="87" t="s">
        <v>188</v>
      </c>
      <c r="C324" s="51"/>
      <c r="D324" s="51"/>
      <c r="E324" s="49"/>
      <c r="F324" s="144"/>
      <c r="G324" s="320">
        <f>SUM(G311:G323)</f>
        <v>5994</v>
      </c>
      <c r="H324" s="250"/>
      <c r="I324" s="219"/>
      <c r="J324" s="219"/>
      <c r="K324" s="219"/>
      <c r="L324" s="219"/>
      <c r="M324" s="219"/>
      <c r="N324" s="219"/>
      <c r="O324" s="219"/>
      <c r="P324" s="219"/>
      <c r="Q324" s="219"/>
      <c r="R324" s="219"/>
      <c r="S324" s="219"/>
      <c r="T324" s="219"/>
      <c r="U324" s="101"/>
      <c r="V324" s="101"/>
      <c r="W324" s="101"/>
      <c r="X324" s="101"/>
      <c r="Y324" s="101"/>
    </row>
    <row r="325" spans="1:25" s="13" customFormat="1">
      <c r="A325" s="204"/>
      <c r="B325" s="81"/>
      <c r="C325" s="58"/>
      <c r="D325" s="58"/>
      <c r="E325" s="22"/>
      <c r="F325" s="143"/>
      <c r="G325" s="318"/>
      <c r="H325" s="248"/>
      <c r="I325" s="219"/>
      <c r="J325" s="219"/>
      <c r="K325" s="219"/>
      <c r="L325" s="219"/>
      <c r="M325" s="219"/>
      <c r="N325" s="219"/>
      <c r="O325" s="219"/>
      <c r="P325" s="219"/>
      <c r="Q325" s="219"/>
      <c r="R325" s="219"/>
      <c r="S325" s="219"/>
      <c r="T325" s="219"/>
      <c r="U325" s="101"/>
      <c r="V325" s="101"/>
      <c r="W325" s="101"/>
      <c r="X325" s="101"/>
      <c r="Y325" s="101"/>
    </row>
    <row r="326" spans="1:25" s="13" customFormat="1" ht="15" thickBot="1">
      <c r="A326" s="203"/>
      <c r="B326" s="34"/>
      <c r="C326" s="20"/>
      <c r="D326" s="20"/>
      <c r="E326" s="14"/>
      <c r="F326" s="148"/>
      <c r="G326" s="330"/>
      <c r="H326" s="262"/>
      <c r="I326" s="219"/>
      <c r="J326" s="219"/>
      <c r="K326" s="219"/>
      <c r="L326" s="219"/>
      <c r="M326" s="219"/>
      <c r="N326" s="219"/>
      <c r="O326" s="219"/>
      <c r="P326" s="219"/>
      <c r="Q326" s="219"/>
      <c r="R326" s="219"/>
      <c r="S326" s="219"/>
      <c r="T326" s="219"/>
      <c r="U326" s="101"/>
      <c r="V326" s="101"/>
      <c r="W326" s="101"/>
      <c r="X326" s="101"/>
      <c r="Y326" s="101"/>
    </row>
    <row r="327" spans="1:25" ht="15" thickBot="1">
      <c r="A327" s="279">
        <v>250</v>
      </c>
      <c r="B327" s="75" t="s">
        <v>230</v>
      </c>
      <c r="C327" s="76"/>
      <c r="D327" s="76"/>
      <c r="E327" s="45"/>
      <c r="F327" s="147"/>
      <c r="G327" s="327">
        <f>+G171+G188+G204+G229+G254+G286+G308+G324</f>
        <v>1758057.9580337165</v>
      </c>
      <c r="H327" s="266"/>
      <c r="I327" s="219"/>
      <c r="J327" s="219"/>
      <c r="K327" s="219"/>
      <c r="L327" s="219"/>
      <c r="M327" s="219"/>
      <c r="N327" s="219"/>
      <c r="O327" s="219"/>
      <c r="P327" s="219"/>
      <c r="Q327" s="219"/>
      <c r="R327" s="219"/>
      <c r="S327" s="219"/>
      <c r="T327" s="219"/>
      <c r="U327" s="101"/>
      <c r="V327" s="101"/>
      <c r="W327" s="101"/>
      <c r="X327" s="101"/>
      <c r="Y327" s="101"/>
    </row>
    <row r="328" spans="1:25" ht="15" thickBot="1">
      <c r="A328" s="211"/>
      <c r="B328" s="35"/>
      <c r="C328" s="12"/>
      <c r="D328" s="12"/>
      <c r="E328" s="97"/>
      <c r="F328" s="145"/>
      <c r="G328" s="325"/>
      <c r="H328" s="270"/>
      <c r="I328" s="219"/>
      <c r="J328" s="219"/>
      <c r="K328" s="219"/>
      <c r="L328" s="219"/>
      <c r="M328" s="219"/>
      <c r="N328" s="219"/>
      <c r="O328" s="219"/>
      <c r="P328" s="219"/>
      <c r="Q328" s="219"/>
      <c r="R328" s="219"/>
      <c r="S328" s="219"/>
      <c r="T328" s="219"/>
      <c r="U328" s="101"/>
      <c r="V328" s="101"/>
      <c r="W328" s="101"/>
      <c r="X328" s="101"/>
      <c r="Y328" s="101"/>
    </row>
    <row r="329" spans="1:25" ht="15" thickBot="1">
      <c r="A329" s="212"/>
      <c r="B329" s="75" t="s">
        <v>189</v>
      </c>
      <c r="C329" s="76"/>
      <c r="D329" s="76"/>
      <c r="E329" s="121"/>
      <c r="F329" s="155"/>
      <c r="G329" s="337"/>
      <c r="H329" s="271"/>
      <c r="I329" s="219"/>
      <c r="J329" s="219"/>
      <c r="K329" s="219"/>
      <c r="L329" s="219"/>
      <c r="M329" s="219"/>
      <c r="N329" s="219"/>
      <c r="O329" s="219"/>
      <c r="P329" s="219"/>
      <c r="Q329" s="219"/>
      <c r="R329" s="219"/>
      <c r="S329" s="219"/>
      <c r="T329" s="219"/>
      <c r="U329" s="101"/>
      <c r="V329" s="101"/>
      <c r="W329" s="101"/>
      <c r="X329" s="101"/>
      <c r="Y329" s="101"/>
    </row>
    <row r="330" spans="1:25" s="4" customFormat="1">
      <c r="A330" s="206"/>
      <c r="B330" s="88" t="s">
        <v>288</v>
      </c>
      <c r="C330" s="53"/>
      <c r="D330" s="53"/>
      <c r="E330" s="77"/>
      <c r="F330" s="151"/>
      <c r="G330" s="333"/>
      <c r="H330" s="265"/>
      <c r="I330" s="226"/>
      <c r="J330" s="226"/>
      <c r="K330" s="226"/>
      <c r="L330" s="226"/>
      <c r="M330" s="226"/>
      <c r="N330" s="226"/>
      <c r="O330" s="226"/>
      <c r="P330" s="226"/>
      <c r="Q330" s="226"/>
      <c r="R330" s="226"/>
      <c r="S330" s="226"/>
      <c r="T330" s="226"/>
      <c r="U330" s="222"/>
      <c r="V330" s="222"/>
      <c r="W330" s="222"/>
      <c r="X330" s="222"/>
      <c r="Y330" s="222"/>
    </row>
    <row r="331" spans="1:25">
      <c r="A331" s="206">
        <v>251</v>
      </c>
      <c r="B331" s="36"/>
      <c r="C331" s="9" t="s">
        <v>190</v>
      </c>
      <c r="D331" s="9"/>
      <c r="E331" s="18" t="s">
        <v>222</v>
      </c>
      <c r="F331" s="140">
        <v>3100</v>
      </c>
      <c r="G331" s="312">
        <v>0</v>
      </c>
      <c r="H331" s="247"/>
      <c r="I331" s="219"/>
      <c r="J331" s="219"/>
      <c r="K331" s="219"/>
      <c r="L331" s="219"/>
      <c r="M331" s="219"/>
      <c r="N331" s="219"/>
      <c r="O331" s="219"/>
      <c r="P331" s="219"/>
      <c r="Q331" s="219"/>
      <c r="R331" s="219"/>
      <c r="S331" s="219"/>
      <c r="T331" s="219"/>
      <c r="U331" s="101"/>
      <c r="V331" s="101"/>
      <c r="W331" s="101"/>
      <c r="X331" s="101"/>
      <c r="Y331" s="101"/>
    </row>
    <row r="332" spans="1:25">
      <c r="A332" s="206">
        <v>252</v>
      </c>
      <c r="B332" s="36"/>
      <c r="C332" s="9" t="s">
        <v>250</v>
      </c>
      <c r="D332" s="9"/>
      <c r="E332" s="18" t="s">
        <v>251</v>
      </c>
      <c r="F332" s="140" t="s">
        <v>191</v>
      </c>
      <c r="G332" s="312">
        <v>0</v>
      </c>
      <c r="H332" s="247"/>
      <c r="I332" s="219"/>
      <c r="J332" s="219"/>
      <c r="K332" s="219"/>
      <c r="L332" s="219"/>
      <c r="M332" s="219"/>
      <c r="N332" s="219"/>
      <c r="O332" s="219"/>
      <c r="P332" s="219"/>
      <c r="Q332" s="219"/>
      <c r="R332" s="219"/>
      <c r="S332" s="219"/>
      <c r="T332" s="219"/>
      <c r="U332" s="101"/>
      <c r="V332" s="101"/>
      <c r="W332" s="101"/>
      <c r="X332" s="101"/>
      <c r="Y332" s="101"/>
    </row>
    <row r="333" spans="1:25">
      <c r="A333" s="206">
        <v>253</v>
      </c>
      <c r="B333" s="36"/>
      <c r="C333" s="9" t="s">
        <v>192</v>
      </c>
      <c r="D333" s="9"/>
      <c r="E333" s="18" t="s">
        <v>193</v>
      </c>
      <c r="F333" s="140" t="s">
        <v>191</v>
      </c>
      <c r="G333" s="312">
        <f>Assumptions!B18*'Assumptions Expenses'!C34</f>
        <v>270000</v>
      </c>
      <c r="H333" s="247" t="s">
        <v>500</v>
      </c>
      <c r="I333" s="219"/>
      <c r="J333" s="219"/>
      <c r="K333" s="219"/>
      <c r="L333" s="219"/>
      <c r="M333" s="219"/>
      <c r="N333" s="219"/>
      <c r="O333" s="219"/>
      <c r="P333" s="219"/>
      <c r="Q333" s="219"/>
      <c r="R333" s="219"/>
      <c r="S333" s="219"/>
      <c r="T333" s="219"/>
      <c r="U333" s="101"/>
      <c r="V333" s="101"/>
      <c r="W333" s="101"/>
      <c r="X333" s="101"/>
      <c r="Y333" s="101"/>
    </row>
    <row r="334" spans="1:25">
      <c r="A334" s="206">
        <v>254</v>
      </c>
      <c r="B334" s="36"/>
      <c r="C334" s="9" t="s">
        <v>227</v>
      </c>
      <c r="D334" s="9"/>
      <c r="E334" s="18" t="s">
        <v>224</v>
      </c>
      <c r="F334" s="140" t="s">
        <v>191</v>
      </c>
      <c r="G334" s="312">
        <v>0</v>
      </c>
      <c r="H334" s="247"/>
      <c r="I334" s="219"/>
      <c r="J334" s="219"/>
      <c r="K334" s="219"/>
      <c r="L334" s="219"/>
      <c r="M334" s="219"/>
      <c r="N334" s="219"/>
      <c r="O334" s="219"/>
      <c r="P334" s="219"/>
      <c r="Q334" s="219"/>
      <c r="R334" s="219"/>
      <c r="S334" s="219"/>
      <c r="T334" s="219"/>
      <c r="U334" s="101"/>
      <c r="V334" s="101"/>
      <c r="W334" s="101"/>
      <c r="X334" s="101"/>
      <c r="Y334" s="101"/>
    </row>
    <row r="335" spans="1:25">
      <c r="A335" s="206">
        <v>255</v>
      </c>
      <c r="B335" s="36"/>
      <c r="C335" s="9" t="s">
        <v>110</v>
      </c>
      <c r="D335" s="9"/>
      <c r="E335" s="18" t="s">
        <v>90</v>
      </c>
      <c r="F335" s="140" t="s">
        <v>191</v>
      </c>
      <c r="G335" s="312">
        <v>0</v>
      </c>
      <c r="H335" s="247"/>
      <c r="I335" s="219"/>
      <c r="J335" s="219"/>
      <c r="K335" s="219"/>
      <c r="L335" s="219"/>
      <c r="M335" s="219"/>
      <c r="N335" s="219"/>
      <c r="O335" s="219"/>
      <c r="P335" s="219"/>
      <c r="Q335" s="219"/>
      <c r="R335" s="219"/>
      <c r="S335" s="219"/>
      <c r="T335" s="219"/>
      <c r="U335" s="101"/>
      <c r="V335" s="101"/>
      <c r="W335" s="101"/>
      <c r="X335" s="101"/>
      <c r="Y335" s="101"/>
    </row>
    <row r="336" spans="1:25">
      <c r="A336" s="206">
        <v>256</v>
      </c>
      <c r="B336" s="36"/>
      <c r="C336" s="9" t="s">
        <v>0</v>
      </c>
      <c r="D336" s="9"/>
      <c r="E336" s="18" t="s">
        <v>194</v>
      </c>
      <c r="F336" s="140" t="s">
        <v>191</v>
      </c>
      <c r="G336" s="312">
        <v>0</v>
      </c>
      <c r="H336" s="247"/>
      <c r="I336" s="219"/>
      <c r="J336" s="219"/>
      <c r="K336" s="219"/>
      <c r="L336" s="219"/>
      <c r="M336" s="219"/>
      <c r="N336" s="219"/>
      <c r="O336" s="219"/>
      <c r="P336" s="219"/>
      <c r="Q336" s="219"/>
      <c r="R336" s="219"/>
      <c r="S336" s="219"/>
      <c r="T336" s="219"/>
      <c r="U336" s="101"/>
      <c r="V336" s="101"/>
      <c r="W336" s="101"/>
      <c r="X336" s="101"/>
      <c r="Y336" s="101"/>
    </row>
    <row r="337" spans="1:25">
      <c r="A337" s="206">
        <v>257</v>
      </c>
      <c r="B337" s="36"/>
      <c r="C337" s="9" t="s">
        <v>187</v>
      </c>
      <c r="D337" s="9"/>
      <c r="E337" s="18" t="s">
        <v>149</v>
      </c>
      <c r="F337" s="140" t="s">
        <v>191</v>
      </c>
      <c r="G337" s="312">
        <v>0</v>
      </c>
      <c r="H337" s="247"/>
      <c r="I337" s="219"/>
      <c r="J337" s="219"/>
      <c r="K337" s="219"/>
      <c r="L337" s="219"/>
      <c r="M337" s="219"/>
      <c r="N337" s="219"/>
      <c r="O337" s="219"/>
      <c r="P337" s="219"/>
      <c r="Q337" s="219"/>
      <c r="R337" s="219"/>
      <c r="S337" s="219"/>
      <c r="T337" s="219"/>
      <c r="U337" s="101"/>
      <c r="V337" s="101"/>
      <c r="W337" s="101"/>
      <c r="X337" s="101"/>
      <c r="Y337" s="101"/>
    </row>
    <row r="338" spans="1:25">
      <c r="A338" s="206">
        <v>258</v>
      </c>
      <c r="B338" s="36"/>
      <c r="C338" s="9" t="s">
        <v>228</v>
      </c>
      <c r="D338" s="9"/>
      <c r="E338" s="18" t="s">
        <v>229</v>
      </c>
      <c r="F338" s="140">
        <v>3100</v>
      </c>
      <c r="G338" s="312">
        <v>0</v>
      </c>
      <c r="H338" s="247"/>
      <c r="I338" s="219"/>
      <c r="J338" s="219"/>
      <c r="K338" s="219"/>
      <c r="L338" s="219"/>
      <c r="M338" s="219"/>
      <c r="N338" s="219"/>
      <c r="O338" s="219"/>
      <c r="P338" s="219"/>
      <c r="Q338" s="219"/>
      <c r="R338" s="219"/>
      <c r="S338" s="219"/>
      <c r="T338" s="219"/>
      <c r="U338" s="101"/>
      <c r="V338" s="101"/>
      <c r="W338" s="101"/>
      <c r="X338" s="101"/>
      <c r="Y338" s="101"/>
    </row>
    <row r="339" spans="1:25">
      <c r="A339" s="206">
        <v>259</v>
      </c>
      <c r="B339" s="36"/>
      <c r="C339" s="9" t="s">
        <v>143</v>
      </c>
      <c r="D339" s="9"/>
      <c r="E339" s="18" t="s">
        <v>144</v>
      </c>
      <c r="F339" s="140" t="s">
        <v>191</v>
      </c>
      <c r="G339" s="312">
        <v>0</v>
      </c>
      <c r="H339" s="247"/>
      <c r="I339" s="219"/>
      <c r="J339" s="219"/>
      <c r="K339" s="219"/>
      <c r="L339" s="219"/>
      <c r="M339" s="219"/>
      <c r="N339" s="219"/>
      <c r="O339" s="219"/>
      <c r="P339" s="219"/>
      <c r="Q339" s="219"/>
      <c r="R339" s="219"/>
      <c r="S339" s="219"/>
      <c r="T339" s="219"/>
      <c r="U339" s="101"/>
      <c r="V339" s="101"/>
      <c r="W339" s="101"/>
      <c r="X339" s="101"/>
      <c r="Y339" s="101"/>
    </row>
    <row r="340" spans="1:25">
      <c r="A340" s="206">
        <v>260</v>
      </c>
      <c r="B340" s="36"/>
      <c r="C340" s="9" t="s">
        <v>93</v>
      </c>
      <c r="D340" s="9"/>
      <c r="E340" s="18" t="s">
        <v>94</v>
      </c>
      <c r="F340" s="140" t="s">
        <v>191</v>
      </c>
      <c r="G340" s="312">
        <v>0</v>
      </c>
      <c r="H340" s="247"/>
      <c r="I340" s="219"/>
      <c r="J340" s="219"/>
      <c r="K340" s="219"/>
      <c r="L340" s="219"/>
      <c r="M340" s="219"/>
      <c r="N340" s="219"/>
      <c r="O340" s="219"/>
      <c r="P340" s="219"/>
      <c r="Q340" s="219"/>
      <c r="R340" s="219"/>
      <c r="S340" s="219"/>
      <c r="T340" s="219"/>
      <c r="U340" s="101"/>
      <c r="V340" s="101"/>
      <c r="W340" s="101"/>
      <c r="X340" s="101"/>
      <c r="Y340" s="101"/>
    </row>
    <row r="341" spans="1:25">
      <c r="A341" s="206">
        <v>261</v>
      </c>
      <c r="B341" s="36"/>
      <c r="C341" s="9" t="s">
        <v>295</v>
      </c>
      <c r="D341" s="9"/>
      <c r="E341" s="18" t="s">
        <v>97</v>
      </c>
      <c r="F341" s="140" t="s">
        <v>12</v>
      </c>
      <c r="G341" s="312">
        <v>0</v>
      </c>
      <c r="H341" s="247" t="s">
        <v>454</v>
      </c>
      <c r="I341" s="219"/>
      <c r="J341" s="219"/>
      <c r="K341" s="219"/>
      <c r="L341" s="219"/>
      <c r="M341" s="219"/>
      <c r="N341" s="219"/>
      <c r="O341" s="219"/>
      <c r="P341" s="219"/>
      <c r="Q341" s="219"/>
      <c r="R341" s="219"/>
      <c r="S341" s="219"/>
      <c r="T341" s="219"/>
      <c r="U341" s="101"/>
      <c r="V341" s="101"/>
      <c r="W341" s="101"/>
      <c r="X341" s="101"/>
      <c r="Y341" s="101"/>
    </row>
    <row r="342" spans="1:25">
      <c r="A342" s="206">
        <v>262</v>
      </c>
      <c r="B342" s="36"/>
      <c r="C342" s="9" t="s">
        <v>98</v>
      </c>
      <c r="D342" s="9"/>
      <c r="E342" s="18" t="s">
        <v>99</v>
      </c>
      <c r="F342" s="140" t="s">
        <v>12</v>
      </c>
      <c r="G342" s="312">
        <v>0</v>
      </c>
      <c r="H342" s="367">
        <v>6.2E-2</v>
      </c>
      <c r="I342" s="219"/>
      <c r="J342" s="219"/>
      <c r="K342" s="219"/>
      <c r="L342" s="219"/>
      <c r="M342" s="219"/>
      <c r="N342" s="219"/>
      <c r="O342" s="219"/>
      <c r="P342" s="219"/>
      <c r="Q342" s="219"/>
      <c r="R342" s="219"/>
      <c r="S342" s="219"/>
      <c r="T342" s="219"/>
      <c r="U342" s="101"/>
      <c r="V342" s="101"/>
      <c r="W342" s="101"/>
      <c r="X342" s="101"/>
      <c r="Y342" s="101"/>
    </row>
    <row r="343" spans="1:25">
      <c r="A343" s="206">
        <v>263</v>
      </c>
      <c r="B343" s="36"/>
      <c r="C343" s="9" t="s">
        <v>100</v>
      </c>
      <c r="D343" s="9"/>
      <c r="E343" s="18" t="s">
        <v>101</v>
      </c>
      <c r="F343" s="140" t="s">
        <v>12</v>
      </c>
      <c r="G343" s="312">
        <v>0</v>
      </c>
      <c r="H343" s="367">
        <v>1.4500000000000001E-2</v>
      </c>
      <c r="I343" s="219"/>
      <c r="J343" s="219"/>
      <c r="K343" s="219"/>
      <c r="L343" s="219"/>
      <c r="M343" s="219"/>
      <c r="N343" s="219"/>
      <c r="O343" s="219"/>
      <c r="P343" s="219"/>
      <c r="Q343" s="219"/>
      <c r="R343" s="219"/>
      <c r="S343" s="219"/>
      <c r="T343" s="219"/>
      <c r="U343" s="101"/>
      <c r="V343" s="101"/>
      <c r="W343" s="101"/>
      <c r="X343" s="101"/>
      <c r="Y343" s="101"/>
    </row>
    <row r="344" spans="1:25">
      <c r="A344" s="206">
        <v>264</v>
      </c>
      <c r="B344" s="36"/>
      <c r="C344" s="9" t="s">
        <v>219</v>
      </c>
      <c r="D344" s="9"/>
      <c r="E344" s="18" t="s">
        <v>220</v>
      </c>
      <c r="F344" s="140" t="s">
        <v>12</v>
      </c>
      <c r="G344" s="312">
        <v>0</v>
      </c>
      <c r="H344" s="247" t="s">
        <v>460</v>
      </c>
      <c r="I344" s="219"/>
      <c r="J344" s="219"/>
      <c r="K344" s="219"/>
      <c r="L344" s="219"/>
      <c r="M344" s="219"/>
      <c r="N344" s="219"/>
      <c r="O344" s="219"/>
      <c r="P344" s="219"/>
      <c r="Q344" s="219"/>
      <c r="R344" s="219"/>
      <c r="S344" s="219"/>
      <c r="T344" s="219"/>
      <c r="U344" s="101"/>
      <c r="V344" s="101"/>
      <c r="W344" s="101"/>
      <c r="X344" s="101"/>
      <c r="Y344" s="101"/>
    </row>
    <row r="345" spans="1:25">
      <c r="A345" s="206">
        <v>265</v>
      </c>
      <c r="B345" s="36"/>
      <c r="C345" s="9" t="s">
        <v>102</v>
      </c>
      <c r="D345" s="9"/>
      <c r="E345" s="18" t="s">
        <v>103</v>
      </c>
      <c r="F345" s="140" t="s">
        <v>12</v>
      </c>
      <c r="G345" s="312">
        <v>0</v>
      </c>
      <c r="H345" s="367">
        <v>9.7999999999999997E-3</v>
      </c>
      <c r="I345" s="219"/>
      <c r="J345" s="219"/>
      <c r="K345" s="219"/>
      <c r="L345" s="219"/>
      <c r="M345" s="219"/>
      <c r="N345" s="219"/>
      <c r="O345" s="219"/>
      <c r="P345" s="219"/>
      <c r="Q345" s="219"/>
      <c r="R345" s="219"/>
      <c r="S345" s="219"/>
      <c r="T345" s="219"/>
      <c r="U345" s="101"/>
      <c r="V345" s="101"/>
      <c r="W345" s="101"/>
      <c r="X345" s="101"/>
      <c r="Y345" s="101"/>
    </row>
    <row r="346" spans="1:25">
      <c r="A346" s="206">
        <v>266</v>
      </c>
      <c r="B346" s="36"/>
      <c r="C346" s="9" t="s">
        <v>104</v>
      </c>
      <c r="D346" s="9"/>
      <c r="E346" s="18" t="s">
        <v>105</v>
      </c>
      <c r="F346" s="140" t="s">
        <v>12</v>
      </c>
      <c r="G346" s="312">
        <v>0</v>
      </c>
      <c r="H346" s="367">
        <v>7.4999999999999997E-3</v>
      </c>
      <c r="I346" s="219"/>
      <c r="J346" s="219"/>
      <c r="K346" s="219"/>
      <c r="L346" s="219"/>
      <c r="M346" s="219"/>
      <c r="N346" s="219"/>
      <c r="O346" s="219"/>
      <c r="P346" s="219"/>
      <c r="Q346" s="219"/>
      <c r="R346" s="219"/>
      <c r="S346" s="219"/>
      <c r="T346" s="219"/>
      <c r="U346" s="101"/>
      <c r="V346" s="101"/>
      <c r="W346" s="101"/>
      <c r="X346" s="101"/>
      <c r="Y346" s="101"/>
    </row>
    <row r="347" spans="1:25">
      <c r="A347" s="206">
        <v>267</v>
      </c>
      <c r="B347" s="36"/>
      <c r="C347" s="85" t="s">
        <v>283</v>
      </c>
      <c r="D347" s="9"/>
      <c r="E347" s="18"/>
      <c r="F347" s="140"/>
      <c r="G347" s="312"/>
      <c r="H347" s="247"/>
      <c r="I347" s="219"/>
      <c r="J347" s="219"/>
      <c r="K347" s="219"/>
      <c r="L347" s="219"/>
      <c r="M347" s="219"/>
      <c r="N347" s="219"/>
      <c r="O347" s="219"/>
      <c r="P347" s="219"/>
      <c r="Q347" s="219"/>
      <c r="R347" s="219"/>
      <c r="S347" s="219"/>
      <c r="T347" s="219"/>
      <c r="U347" s="101"/>
      <c r="V347" s="101"/>
      <c r="W347" s="101"/>
      <c r="X347" s="101"/>
      <c r="Y347" s="101"/>
    </row>
    <row r="348" spans="1:25">
      <c r="A348" s="206">
        <v>268</v>
      </c>
      <c r="B348" s="36"/>
      <c r="C348" s="85"/>
      <c r="D348" s="9"/>
      <c r="E348" s="18"/>
      <c r="F348" s="140"/>
      <c r="G348" s="312"/>
      <c r="H348" s="247"/>
      <c r="I348" s="219"/>
      <c r="J348" s="219"/>
      <c r="K348" s="219"/>
      <c r="L348" s="219"/>
      <c r="M348" s="219"/>
      <c r="N348" s="219"/>
      <c r="O348" s="219"/>
      <c r="P348" s="219"/>
      <c r="Q348" s="219"/>
      <c r="R348" s="219"/>
      <c r="S348" s="219"/>
      <c r="T348" s="219"/>
      <c r="U348" s="101"/>
      <c r="V348" s="101"/>
      <c r="W348" s="101"/>
      <c r="X348" s="101"/>
      <c r="Y348" s="101"/>
    </row>
    <row r="349" spans="1:25">
      <c r="A349" s="206">
        <v>269</v>
      </c>
      <c r="B349" s="83"/>
      <c r="D349" s="13"/>
      <c r="E349" s="14"/>
      <c r="F349" s="148"/>
      <c r="G349" s="330"/>
      <c r="H349" s="262"/>
      <c r="I349" s="219"/>
      <c r="J349" s="219"/>
      <c r="K349" s="219"/>
      <c r="L349" s="219"/>
      <c r="M349" s="219"/>
      <c r="N349" s="219"/>
      <c r="O349" s="219"/>
      <c r="P349" s="219"/>
      <c r="Q349" s="219"/>
      <c r="R349" s="219"/>
      <c r="S349" s="219"/>
      <c r="T349" s="219"/>
      <c r="U349" s="101"/>
      <c r="V349" s="101"/>
      <c r="W349" s="101"/>
      <c r="X349" s="101"/>
      <c r="Y349" s="101"/>
    </row>
    <row r="350" spans="1:25">
      <c r="A350" s="207">
        <v>270</v>
      </c>
      <c r="B350" s="87" t="s">
        <v>195</v>
      </c>
      <c r="C350" s="51"/>
      <c r="D350" s="51"/>
      <c r="E350" s="49"/>
      <c r="F350" s="144"/>
      <c r="G350" s="320">
        <f>SUM(G331:G349)</f>
        <v>270000</v>
      </c>
      <c r="H350" s="250"/>
      <c r="I350" s="219"/>
      <c r="J350" s="219"/>
      <c r="K350" s="219"/>
      <c r="L350" s="219"/>
      <c r="M350" s="219"/>
      <c r="N350" s="219"/>
      <c r="O350" s="219"/>
      <c r="P350" s="219"/>
      <c r="Q350" s="219"/>
      <c r="R350" s="219"/>
      <c r="S350" s="219"/>
      <c r="T350" s="219"/>
      <c r="U350" s="101"/>
      <c r="V350" s="101"/>
      <c r="W350" s="101"/>
      <c r="X350" s="101"/>
      <c r="Y350" s="101"/>
    </row>
    <row r="351" spans="1:25" ht="6" customHeight="1">
      <c r="A351" s="206"/>
      <c r="B351" s="36"/>
      <c r="C351" s="9"/>
      <c r="D351" s="9"/>
      <c r="E351" s="18"/>
      <c r="F351" s="140"/>
      <c r="G351" s="312"/>
      <c r="H351" s="247"/>
      <c r="I351" s="219"/>
      <c r="J351" s="219"/>
      <c r="K351" s="219"/>
      <c r="L351" s="219"/>
      <c r="M351" s="219"/>
      <c r="N351" s="219"/>
      <c r="O351" s="219"/>
      <c r="P351" s="219"/>
      <c r="Q351" s="219"/>
      <c r="R351" s="219"/>
      <c r="S351" s="219"/>
      <c r="T351" s="219"/>
      <c r="U351" s="101"/>
      <c r="V351" s="101"/>
      <c r="W351" s="101"/>
      <c r="X351" s="101"/>
      <c r="Y351" s="101"/>
    </row>
    <row r="352" spans="1:25" ht="7.5" customHeight="1">
      <c r="A352" s="206"/>
      <c r="B352" s="36"/>
      <c r="C352" s="9"/>
      <c r="D352" s="9"/>
      <c r="E352" s="18"/>
      <c r="F352" s="140"/>
      <c r="G352" s="312"/>
      <c r="H352" s="247"/>
      <c r="I352" s="219"/>
      <c r="J352" s="219"/>
      <c r="K352" s="219"/>
      <c r="L352" s="219"/>
      <c r="M352" s="219"/>
      <c r="N352" s="219"/>
      <c r="O352" s="219"/>
      <c r="P352" s="219"/>
      <c r="Q352" s="219"/>
      <c r="R352" s="219"/>
      <c r="S352" s="219"/>
      <c r="T352" s="219"/>
      <c r="U352" s="101"/>
      <c r="V352" s="101"/>
      <c r="W352" s="101"/>
      <c r="X352" s="101"/>
      <c r="Y352" s="101"/>
    </row>
    <row r="353" spans="1:25" s="4" customFormat="1">
      <c r="A353" s="206" t="s">
        <v>33</v>
      </c>
      <c r="B353" s="88" t="s">
        <v>289</v>
      </c>
      <c r="C353" s="53"/>
      <c r="D353" s="53"/>
      <c r="E353" s="61"/>
      <c r="F353" s="139"/>
      <c r="G353" s="317"/>
      <c r="H353" s="246"/>
      <c r="I353" s="219"/>
      <c r="J353" s="219"/>
      <c r="K353" s="219"/>
      <c r="L353" s="219"/>
      <c r="M353" s="219"/>
      <c r="N353" s="219"/>
      <c r="O353" s="219"/>
      <c r="P353" s="219"/>
      <c r="Q353" s="219"/>
      <c r="R353" s="219"/>
      <c r="S353" s="219"/>
      <c r="T353" s="219"/>
      <c r="U353" s="222"/>
      <c r="V353" s="222"/>
      <c r="W353" s="222"/>
      <c r="X353" s="222"/>
      <c r="Y353" s="222"/>
    </row>
    <row r="354" spans="1:25">
      <c r="A354" s="206">
        <v>271</v>
      </c>
      <c r="B354" s="36"/>
      <c r="C354" s="9" t="s">
        <v>76</v>
      </c>
      <c r="D354" s="9"/>
      <c r="E354" s="18" t="s">
        <v>222</v>
      </c>
      <c r="F354" s="140" t="s">
        <v>13</v>
      </c>
      <c r="G354" s="312">
        <v>0</v>
      </c>
      <c r="H354" s="247"/>
      <c r="I354" s="219"/>
      <c r="J354" s="219"/>
      <c r="K354" s="219"/>
      <c r="L354" s="219"/>
      <c r="M354" s="219"/>
      <c r="N354" s="219"/>
      <c r="O354" s="219"/>
      <c r="P354" s="219"/>
      <c r="Q354" s="219"/>
      <c r="R354" s="219"/>
      <c r="S354" s="219"/>
      <c r="T354" s="219"/>
      <c r="U354" s="101"/>
      <c r="V354" s="101"/>
      <c r="W354" s="101"/>
      <c r="X354" s="101"/>
      <c r="Y354" s="101"/>
    </row>
    <row r="355" spans="1:25">
      <c r="A355" s="206">
        <v>272</v>
      </c>
      <c r="B355" s="36"/>
      <c r="C355" s="9" t="s">
        <v>110</v>
      </c>
      <c r="D355" s="9"/>
      <c r="E355" s="18" t="s">
        <v>90</v>
      </c>
      <c r="F355" s="140" t="s">
        <v>196</v>
      </c>
      <c r="G355" s="312">
        <v>0</v>
      </c>
      <c r="H355" s="247"/>
      <c r="I355" s="219"/>
      <c r="J355" s="219"/>
      <c r="K355" s="219"/>
      <c r="L355" s="219"/>
      <c r="M355" s="219"/>
      <c r="N355" s="219"/>
      <c r="O355" s="219"/>
      <c r="P355" s="219"/>
      <c r="Q355" s="219"/>
      <c r="R355" s="219"/>
      <c r="S355" s="219"/>
      <c r="T355" s="219"/>
      <c r="U355" s="101"/>
      <c r="V355" s="101"/>
      <c r="W355" s="101"/>
      <c r="X355" s="101"/>
      <c r="Y355" s="101"/>
    </row>
    <row r="356" spans="1:25">
      <c r="A356" s="206">
        <v>273</v>
      </c>
      <c r="B356" s="36"/>
      <c r="C356" s="9" t="s">
        <v>295</v>
      </c>
      <c r="D356" s="9"/>
      <c r="E356" s="18" t="s">
        <v>97</v>
      </c>
      <c r="F356" s="140" t="s">
        <v>13</v>
      </c>
      <c r="G356" s="312">
        <v>0</v>
      </c>
      <c r="H356" s="247" t="s">
        <v>454</v>
      </c>
      <c r="I356" s="219"/>
      <c r="J356" s="219"/>
      <c r="K356" s="219"/>
      <c r="L356" s="219"/>
      <c r="M356" s="219"/>
      <c r="N356" s="219"/>
      <c r="O356" s="219"/>
      <c r="P356" s="219"/>
      <c r="Q356" s="219"/>
      <c r="R356" s="219"/>
      <c r="S356" s="219"/>
      <c r="T356" s="219"/>
      <c r="U356" s="101"/>
      <c r="V356" s="101"/>
      <c r="W356" s="101"/>
      <c r="X356" s="101"/>
      <c r="Y356" s="101"/>
    </row>
    <row r="357" spans="1:25">
      <c r="A357" s="206">
        <v>274</v>
      </c>
      <c r="B357" s="36"/>
      <c r="C357" s="9" t="s">
        <v>98</v>
      </c>
      <c r="D357" s="9"/>
      <c r="E357" s="18" t="s">
        <v>99</v>
      </c>
      <c r="F357" s="140" t="s">
        <v>13</v>
      </c>
      <c r="G357" s="312">
        <v>0</v>
      </c>
      <c r="H357" s="367">
        <v>6.2E-2</v>
      </c>
      <c r="I357" s="219"/>
      <c r="J357" s="219"/>
      <c r="K357" s="219"/>
      <c r="L357" s="219"/>
      <c r="M357" s="219"/>
      <c r="N357" s="219"/>
      <c r="O357" s="219"/>
      <c r="P357" s="219"/>
      <c r="Q357" s="219"/>
      <c r="R357" s="219"/>
      <c r="S357" s="219"/>
      <c r="T357" s="219"/>
      <c r="U357" s="101"/>
      <c r="V357" s="101"/>
      <c r="W357" s="101"/>
      <c r="X357" s="101"/>
      <c r="Y357" s="101"/>
    </row>
    <row r="358" spans="1:25">
      <c r="A358" s="206">
        <v>275</v>
      </c>
      <c r="B358" s="36"/>
      <c r="C358" s="9" t="s">
        <v>100</v>
      </c>
      <c r="D358" s="9"/>
      <c r="E358" s="18" t="s">
        <v>101</v>
      </c>
      <c r="F358" s="140" t="s">
        <v>13</v>
      </c>
      <c r="G358" s="312">
        <v>0</v>
      </c>
      <c r="H358" s="367">
        <v>1.4500000000000001E-2</v>
      </c>
      <c r="I358" s="219"/>
      <c r="J358" s="219"/>
      <c r="K358" s="219"/>
      <c r="L358" s="219"/>
      <c r="M358" s="219"/>
      <c r="N358" s="219"/>
      <c r="O358" s="219"/>
      <c r="P358" s="219"/>
      <c r="Q358" s="219"/>
      <c r="R358" s="219"/>
      <c r="S358" s="219"/>
      <c r="T358" s="219"/>
      <c r="U358" s="101"/>
      <c r="V358" s="101"/>
      <c r="W358" s="101"/>
      <c r="X358" s="101"/>
      <c r="Y358" s="101"/>
    </row>
    <row r="359" spans="1:25">
      <c r="A359" s="206">
        <v>276</v>
      </c>
      <c r="B359" s="36"/>
      <c r="C359" s="9" t="s">
        <v>219</v>
      </c>
      <c r="D359" s="9"/>
      <c r="E359" s="18" t="s">
        <v>220</v>
      </c>
      <c r="F359" s="140" t="s">
        <v>13</v>
      </c>
      <c r="G359" s="312">
        <v>0</v>
      </c>
      <c r="H359" s="247" t="s">
        <v>460</v>
      </c>
      <c r="I359" s="219"/>
      <c r="J359" s="219"/>
      <c r="K359" s="219"/>
      <c r="L359" s="219"/>
      <c r="M359" s="219"/>
      <c r="N359" s="219"/>
      <c r="O359" s="219"/>
      <c r="P359" s="219"/>
      <c r="Q359" s="219"/>
      <c r="R359" s="219"/>
      <c r="S359" s="219"/>
      <c r="T359" s="219"/>
      <c r="U359" s="101"/>
      <c r="V359" s="101"/>
      <c r="W359" s="101"/>
      <c r="X359" s="101"/>
      <c r="Y359" s="101"/>
    </row>
    <row r="360" spans="1:25">
      <c r="A360" s="206">
        <v>277</v>
      </c>
      <c r="B360" s="36"/>
      <c r="C360" s="9" t="s">
        <v>102</v>
      </c>
      <c r="D360" s="9"/>
      <c r="E360" s="18" t="s">
        <v>103</v>
      </c>
      <c r="F360" s="140" t="s">
        <v>13</v>
      </c>
      <c r="G360" s="312">
        <v>0</v>
      </c>
      <c r="H360" s="367">
        <v>9.7999999999999997E-3</v>
      </c>
      <c r="I360" s="219"/>
      <c r="J360" s="219"/>
      <c r="K360" s="219"/>
      <c r="L360" s="219"/>
      <c r="M360" s="219"/>
      <c r="N360" s="219"/>
      <c r="O360" s="219"/>
      <c r="P360" s="219"/>
      <c r="Q360" s="219"/>
      <c r="R360" s="219"/>
      <c r="S360" s="219"/>
      <c r="T360" s="219"/>
      <c r="U360" s="101"/>
      <c r="V360" s="101"/>
      <c r="W360" s="101"/>
      <c r="X360" s="101"/>
      <c r="Y360" s="101"/>
    </row>
    <row r="361" spans="1:25">
      <c r="A361" s="206">
        <v>278</v>
      </c>
      <c r="B361" s="36"/>
      <c r="C361" s="9" t="s">
        <v>104</v>
      </c>
      <c r="D361" s="9"/>
      <c r="E361" s="18" t="s">
        <v>105</v>
      </c>
      <c r="F361" s="140" t="s">
        <v>13</v>
      </c>
      <c r="G361" s="312">
        <v>0</v>
      </c>
      <c r="H361" s="367">
        <v>7.4999999999999997E-3</v>
      </c>
      <c r="I361" s="219"/>
      <c r="J361" s="219"/>
      <c r="K361" s="219"/>
      <c r="L361" s="219"/>
      <c r="M361" s="219"/>
      <c r="N361" s="219"/>
      <c r="O361" s="219"/>
      <c r="P361" s="219"/>
      <c r="Q361" s="219"/>
      <c r="R361" s="219"/>
      <c r="S361" s="219"/>
      <c r="T361" s="219"/>
      <c r="U361" s="101"/>
      <c r="V361" s="101"/>
      <c r="W361" s="101"/>
      <c r="X361" s="101"/>
      <c r="Y361" s="101"/>
    </row>
    <row r="362" spans="1:25">
      <c r="A362" s="206">
        <v>279</v>
      </c>
      <c r="B362" s="36"/>
      <c r="C362" s="85" t="s">
        <v>283</v>
      </c>
      <c r="D362" s="9"/>
      <c r="E362" s="18"/>
      <c r="F362" s="140"/>
      <c r="G362" s="312"/>
      <c r="H362" s="247"/>
      <c r="I362" s="219"/>
      <c r="J362" s="219"/>
      <c r="K362" s="219"/>
      <c r="L362" s="219"/>
      <c r="M362" s="219"/>
      <c r="N362" s="219"/>
      <c r="O362" s="219"/>
      <c r="P362" s="219"/>
      <c r="Q362" s="219"/>
      <c r="R362" s="219"/>
      <c r="S362" s="219"/>
      <c r="T362" s="219"/>
      <c r="U362" s="101"/>
      <c r="V362" s="101"/>
      <c r="W362" s="101"/>
      <c r="X362" s="101"/>
      <c r="Y362" s="101"/>
    </row>
    <row r="363" spans="1:25">
      <c r="A363" s="206">
        <v>280</v>
      </c>
      <c r="B363" s="36"/>
      <c r="C363" s="85"/>
      <c r="D363" s="9"/>
      <c r="E363" s="18"/>
      <c r="F363" s="140"/>
      <c r="G363" s="312"/>
      <c r="H363" s="247"/>
      <c r="I363" s="219"/>
      <c r="J363" s="219"/>
      <c r="K363" s="219"/>
      <c r="L363" s="219"/>
      <c r="M363" s="219"/>
      <c r="N363" s="219"/>
      <c r="O363" s="219"/>
      <c r="P363" s="219"/>
      <c r="Q363" s="219"/>
      <c r="R363" s="219"/>
      <c r="S363" s="219"/>
      <c r="T363" s="219"/>
      <c r="U363" s="101"/>
      <c r="V363" s="101"/>
      <c r="W363" s="101"/>
      <c r="X363" s="101"/>
      <c r="Y363" s="101"/>
    </row>
    <row r="364" spans="1:25">
      <c r="A364" s="206"/>
      <c r="B364" s="83"/>
      <c r="D364" s="13"/>
      <c r="E364" s="14"/>
      <c r="F364" s="148"/>
      <c r="G364" s="330"/>
      <c r="H364" s="262"/>
      <c r="I364" s="219"/>
      <c r="J364" s="219"/>
      <c r="K364" s="219"/>
      <c r="L364" s="219"/>
      <c r="M364" s="219"/>
      <c r="N364" s="219"/>
      <c r="O364" s="219"/>
      <c r="P364" s="219"/>
      <c r="Q364" s="219"/>
      <c r="R364" s="219"/>
      <c r="S364" s="219"/>
      <c r="T364" s="219"/>
      <c r="U364" s="101"/>
      <c r="V364" s="101"/>
      <c r="W364" s="101"/>
      <c r="X364" s="101"/>
      <c r="Y364" s="101"/>
    </row>
    <row r="365" spans="1:25">
      <c r="A365" s="207">
        <v>281</v>
      </c>
      <c r="B365" s="87" t="s">
        <v>290</v>
      </c>
      <c r="C365" s="51"/>
      <c r="D365" s="51"/>
      <c r="E365" s="49"/>
      <c r="F365" s="144"/>
      <c r="G365" s="320">
        <f>SUM(G354:G364)</f>
        <v>0</v>
      </c>
      <c r="H365" s="250"/>
      <c r="I365" s="219"/>
      <c r="J365" s="219"/>
      <c r="K365" s="219"/>
      <c r="L365" s="219"/>
      <c r="M365" s="219"/>
      <c r="N365" s="219"/>
      <c r="O365" s="219"/>
      <c r="P365" s="219"/>
      <c r="Q365" s="219"/>
      <c r="R365" s="219"/>
      <c r="S365" s="219"/>
      <c r="T365" s="219"/>
      <c r="U365" s="101"/>
      <c r="V365" s="101"/>
      <c r="W365" s="101"/>
      <c r="X365" s="101"/>
      <c r="Y365" s="101"/>
    </row>
    <row r="366" spans="1:25" ht="15" thickBot="1">
      <c r="A366" s="206"/>
      <c r="B366" s="80"/>
      <c r="C366" s="10"/>
      <c r="D366" s="10"/>
      <c r="E366" s="18"/>
      <c r="F366" s="140"/>
      <c r="G366" s="312"/>
      <c r="H366" s="247"/>
      <c r="I366" s="219"/>
      <c r="J366" s="219"/>
      <c r="K366" s="219"/>
      <c r="L366" s="219"/>
      <c r="M366" s="219"/>
      <c r="N366" s="219"/>
      <c r="O366" s="219"/>
      <c r="P366" s="219"/>
      <c r="Q366" s="219"/>
      <c r="R366" s="219"/>
      <c r="S366" s="219"/>
      <c r="T366" s="219"/>
      <c r="U366" s="101"/>
      <c r="V366" s="101"/>
      <c r="W366" s="101"/>
      <c r="X366" s="101"/>
      <c r="Y366" s="101"/>
    </row>
    <row r="367" spans="1:25">
      <c r="A367" s="213"/>
      <c r="B367" s="115" t="s">
        <v>231</v>
      </c>
      <c r="C367" s="123"/>
      <c r="D367" s="123"/>
      <c r="E367" s="135"/>
      <c r="F367" s="156"/>
      <c r="G367" s="338"/>
      <c r="H367" s="272"/>
      <c r="I367" s="219"/>
      <c r="J367" s="219"/>
      <c r="K367" s="219"/>
      <c r="L367" s="219"/>
      <c r="M367" s="219"/>
      <c r="N367" s="219"/>
      <c r="O367" s="219"/>
      <c r="P367" s="219"/>
      <c r="Q367" s="219"/>
      <c r="R367" s="219"/>
      <c r="S367" s="219"/>
      <c r="T367" s="219"/>
      <c r="U367" s="101"/>
      <c r="V367" s="101"/>
      <c r="W367" s="101"/>
      <c r="X367" s="101"/>
      <c r="Y367" s="101"/>
    </row>
    <row r="368" spans="1:25" ht="15" thickBot="1">
      <c r="A368" s="214">
        <v>282</v>
      </c>
      <c r="B368" s="131"/>
      <c r="C368" s="117"/>
      <c r="D368" s="117" t="s">
        <v>197</v>
      </c>
      <c r="E368" s="127"/>
      <c r="F368" s="157"/>
      <c r="G368" s="339">
        <f>+G350+G365</f>
        <v>270000</v>
      </c>
      <c r="H368" s="273"/>
      <c r="I368" s="219"/>
      <c r="J368" s="219"/>
      <c r="K368" s="219"/>
      <c r="L368" s="219"/>
      <c r="M368" s="219"/>
      <c r="N368" s="219"/>
      <c r="O368" s="219"/>
      <c r="P368" s="219"/>
      <c r="Q368" s="219"/>
      <c r="R368" s="219"/>
      <c r="S368" s="219"/>
      <c r="T368" s="219"/>
      <c r="U368" s="101"/>
      <c r="V368" s="101"/>
      <c r="W368" s="101"/>
      <c r="X368" s="101"/>
      <c r="Y368" s="101"/>
    </row>
    <row r="369" spans="1:25" s="4" customFormat="1">
      <c r="A369" s="211"/>
      <c r="B369" s="132" t="s">
        <v>18</v>
      </c>
      <c r="C369" s="56"/>
      <c r="D369" s="56"/>
      <c r="E369" s="71"/>
      <c r="F369" s="138"/>
      <c r="G369" s="316"/>
      <c r="H369" s="245"/>
      <c r="I369" s="219"/>
      <c r="J369" s="219"/>
      <c r="K369" s="219"/>
      <c r="L369" s="219"/>
      <c r="M369" s="219"/>
      <c r="N369" s="219"/>
      <c r="O369" s="219"/>
      <c r="P369" s="219"/>
      <c r="Q369" s="219"/>
      <c r="R369" s="219"/>
      <c r="S369" s="219"/>
      <c r="T369" s="219"/>
      <c r="U369" s="222"/>
      <c r="V369" s="222"/>
      <c r="W369" s="222"/>
      <c r="X369" s="222"/>
      <c r="Y369" s="222"/>
    </row>
    <row r="370" spans="1:25">
      <c r="A370" s="206">
        <v>283</v>
      </c>
      <c r="B370" s="36"/>
      <c r="C370" s="9" t="s">
        <v>199</v>
      </c>
      <c r="D370" s="9"/>
      <c r="E370" s="18" t="s">
        <v>200</v>
      </c>
      <c r="F370" s="140" t="s">
        <v>201</v>
      </c>
      <c r="G370" s="312">
        <v>0</v>
      </c>
      <c r="H370" s="247"/>
      <c r="I370" s="219"/>
      <c r="J370" s="219"/>
      <c r="K370" s="219"/>
      <c r="L370" s="219"/>
      <c r="M370" s="219"/>
      <c r="N370" s="219"/>
      <c r="O370" s="219"/>
      <c r="P370" s="219"/>
      <c r="Q370" s="219"/>
      <c r="R370" s="219"/>
      <c r="S370" s="219"/>
      <c r="T370" s="219"/>
      <c r="U370" s="101"/>
      <c r="V370" s="101"/>
      <c r="W370" s="101"/>
      <c r="X370" s="101"/>
      <c r="Y370" s="101"/>
    </row>
    <row r="371" spans="1:25">
      <c r="A371" s="206">
        <v>284</v>
      </c>
      <c r="B371" s="36"/>
      <c r="C371" s="9" t="s">
        <v>202</v>
      </c>
      <c r="D371" s="9"/>
      <c r="E371" s="18" t="s">
        <v>203</v>
      </c>
      <c r="F371" s="140" t="s">
        <v>198</v>
      </c>
      <c r="G371" s="312">
        <v>0</v>
      </c>
      <c r="H371" s="247"/>
      <c r="I371" s="219"/>
      <c r="J371" s="219"/>
      <c r="K371" s="219"/>
      <c r="L371" s="219"/>
      <c r="M371" s="219"/>
      <c r="N371" s="219"/>
      <c r="O371" s="219"/>
      <c r="P371" s="219"/>
      <c r="Q371" s="219"/>
      <c r="R371" s="219"/>
      <c r="S371" s="219"/>
      <c r="T371" s="219"/>
      <c r="U371" s="101"/>
      <c r="V371" s="101"/>
      <c r="W371" s="101"/>
      <c r="X371" s="101"/>
      <c r="Y371" s="101"/>
    </row>
    <row r="372" spans="1:25">
      <c r="A372" s="206">
        <v>285</v>
      </c>
      <c r="B372" s="36"/>
      <c r="C372" s="9" t="s">
        <v>204</v>
      </c>
      <c r="D372" s="9"/>
      <c r="E372" s="18" t="s">
        <v>203</v>
      </c>
      <c r="F372" s="140" t="s">
        <v>205</v>
      </c>
      <c r="G372" s="312">
        <v>0</v>
      </c>
      <c r="H372" s="247"/>
      <c r="I372" s="219"/>
      <c r="J372" s="219"/>
      <c r="K372" s="219"/>
      <c r="L372" s="219"/>
      <c r="M372" s="219"/>
      <c r="N372" s="219"/>
      <c r="O372" s="219"/>
      <c r="P372" s="219"/>
      <c r="Q372" s="219"/>
      <c r="R372" s="219"/>
      <c r="S372" s="219"/>
      <c r="T372" s="219"/>
      <c r="U372" s="101"/>
      <c r="V372" s="101"/>
      <c r="W372" s="101"/>
      <c r="X372" s="101"/>
      <c r="Y372" s="101"/>
    </row>
    <row r="373" spans="1:25">
      <c r="A373" s="206">
        <v>286</v>
      </c>
      <c r="B373" s="36"/>
      <c r="C373" s="9" t="s">
        <v>93</v>
      </c>
      <c r="D373" s="9"/>
      <c r="E373" s="18" t="s">
        <v>94</v>
      </c>
      <c r="F373" s="140" t="s">
        <v>198</v>
      </c>
      <c r="G373" s="312">
        <v>0</v>
      </c>
      <c r="H373" s="247"/>
      <c r="I373" s="219"/>
      <c r="J373" s="219"/>
      <c r="K373" s="219"/>
      <c r="L373" s="219"/>
      <c r="M373" s="219"/>
      <c r="N373" s="219"/>
      <c r="O373" s="219"/>
      <c r="P373" s="219"/>
      <c r="Q373" s="219"/>
      <c r="R373" s="219"/>
      <c r="S373" s="219"/>
      <c r="T373" s="219"/>
      <c r="U373" s="101"/>
      <c r="V373" s="101"/>
      <c r="W373" s="101"/>
      <c r="X373" s="101"/>
      <c r="Y373" s="101"/>
    </row>
    <row r="374" spans="1:25">
      <c r="A374" s="206">
        <v>287</v>
      </c>
      <c r="B374" s="36"/>
      <c r="C374" s="9" t="s">
        <v>85</v>
      </c>
      <c r="D374" s="9"/>
      <c r="E374" s="18" t="s">
        <v>86</v>
      </c>
      <c r="F374" s="140" t="s">
        <v>206</v>
      </c>
      <c r="G374" s="312">
        <v>0</v>
      </c>
      <c r="H374" s="247"/>
      <c r="I374" s="219"/>
      <c r="J374" s="219"/>
      <c r="K374" s="219"/>
      <c r="L374" s="219"/>
      <c r="M374" s="219"/>
      <c r="N374" s="219"/>
      <c r="O374" s="219"/>
      <c r="P374" s="219"/>
      <c r="Q374" s="219"/>
      <c r="R374" s="219"/>
      <c r="S374" s="219"/>
      <c r="T374" s="219"/>
      <c r="U374" s="101"/>
      <c r="V374" s="101"/>
      <c r="W374" s="101"/>
      <c r="X374" s="101"/>
      <c r="Y374" s="101"/>
    </row>
    <row r="375" spans="1:25">
      <c r="A375" s="206">
        <v>288</v>
      </c>
      <c r="B375" s="36"/>
      <c r="C375" s="85" t="s">
        <v>283</v>
      </c>
      <c r="D375" s="9"/>
      <c r="E375" s="18"/>
      <c r="F375" s="140"/>
      <c r="G375" s="312"/>
      <c r="H375" s="247"/>
      <c r="I375" s="219"/>
      <c r="J375" s="219"/>
      <c r="K375" s="219"/>
      <c r="L375" s="219"/>
      <c r="M375" s="219"/>
      <c r="N375" s="219"/>
      <c r="O375" s="219"/>
      <c r="P375" s="219"/>
      <c r="Q375" s="219"/>
      <c r="R375" s="219"/>
      <c r="S375" s="219"/>
      <c r="T375" s="219"/>
      <c r="U375" s="101"/>
      <c r="V375" s="101"/>
      <c r="W375" s="101"/>
      <c r="X375" s="101"/>
      <c r="Y375" s="101"/>
    </row>
    <row r="376" spans="1:25">
      <c r="A376" s="206">
        <v>289</v>
      </c>
      <c r="B376" s="36"/>
      <c r="C376" s="85"/>
      <c r="D376" s="9"/>
      <c r="E376" s="18"/>
      <c r="F376" s="140"/>
      <c r="G376" s="312"/>
      <c r="H376" s="247"/>
      <c r="I376" s="219"/>
      <c r="J376" s="219"/>
      <c r="K376" s="219"/>
      <c r="L376" s="219"/>
      <c r="M376" s="219"/>
      <c r="N376" s="219"/>
      <c r="O376" s="219"/>
      <c r="P376" s="219"/>
      <c r="Q376" s="219"/>
      <c r="R376" s="219"/>
      <c r="S376" s="219"/>
      <c r="T376" s="219"/>
      <c r="U376" s="101"/>
      <c r="V376" s="101"/>
      <c r="W376" s="101"/>
      <c r="X376" s="101"/>
      <c r="Y376" s="101"/>
    </row>
    <row r="377" spans="1:25" ht="15" thickBot="1">
      <c r="A377" s="206">
        <v>290</v>
      </c>
      <c r="B377" s="83"/>
      <c r="D377" s="13"/>
      <c r="E377" s="14"/>
      <c r="F377" s="148"/>
      <c r="G377" s="330"/>
      <c r="H377" s="262"/>
      <c r="I377" s="219"/>
      <c r="J377" s="219"/>
      <c r="K377" s="219"/>
      <c r="L377" s="219"/>
      <c r="M377" s="219"/>
      <c r="N377" s="219"/>
      <c r="O377" s="219"/>
      <c r="P377" s="219"/>
      <c r="Q377" s="219"/>
      <c r="R377" s="219"/>
      <c r="S377" s="219"/>
      <c r="T377" s="219"/>
      <c r="U377" s="101"/>
      <c r="V377" s="101"/>
      <c r="W377" s="101"/>
      <c r="X377" s="101"/>
      <c r="Y377" s="101"/>
    </row>
    <row r="378" spans="1:25">
      <c r="A378" s="213"/>
      <c r="B378" s="115" t="s">
        <v>207</v>
      </c>
      <c r="C378" s="123"/>
      <c r="D378" s="123"/>
      <c r="E378" s="135"/>
      <c r="F378" s="156"/>
      <c r="G378" s="338"/>
      <c r="H378" s="272"/>
      <c r="I378" s="219"/>
      <c r="J378" s="219"/>
      <c r="K378" s="219"/>
      <c r="L378" s="219"/>
      <c r="M378" s="219"/>
      <c r="N378" s="219"/>
      <c r="O378" s="219"/>
      <c r="P378" s="219"/>
      <c r="Q378" s="219"/>
      <c r="R378" s="219"/>
      <c r="S378" s="219"/>
      <c r="T378" s="219"/>
      <c r="U378" s="101"/>
      <c r="V378" s="101"/>
      <c r="W378" s="101"/>
      <c r="X378" s="101"/>
      <c r="Y378" s="101"/>
    </row>
    <row r="379" spans="1:25" ht="15" thickBot="1">
      <c r="A379" s="214">
        <v>291</v>
      </c>
      <c r="B379" s="124"/>
      <c r="C379" s="125"/>
      <c r="D379" s="117" t="s">
        <v>2</v>
      </c>
      <c r="E379" s="127"/>
      <c r="F379" s="157"/>
      <c r="G379" s="339">
        <f>SUM(G370:G377)</f>
        <v>0</v>
      </c>
      <c r="H379" s="273"/>
      <c r="I379" s="219"/>
      <c r="J379" s="219"/>
      <c r="K379" s="219"/>
      <c r="L379" s="219"/>
      <c r="M379" s="219"/>
      <c r="N379" s="219"/>
      <c r="O379" s="219"/>
      <c r="P379" s="219"/>
      <c r="Q379" s="219"/>
      <c r="R379" s="219"/>
      <c r="S379" s="219"/>
      <c r="T379" s="219"/>
      <c r="U379" s="101"/>
      <c r="V379" s="101"/>
      <c r="W379" s="101"/>
      <c r="X379" s="101"/>
      <c r="Y379" s="101"/>
    </row>
    <row r="380" spans="1:25">
      <c r="A380" s="211"/>
      <c r="B380" s="35"/>
      <c r="C380" s="12"/>
      <c r="D380" s="12"/>
      <c r="E380" s="16"/>
      <c r="F380" s="152"/>
      <c r="G380" s="334"/>
      <c r="H380" s="267"/>
      <c r="I380" s="219"/>
      <c r="J380" s="219"/>
      <c r="K380" s="219"/>
      <c r="L380" s="219"/>
      <c r="M380" s="219"/>
      <c r="N380" s="219"/>
      <c r="O380" s="219"/>
      <c r="P380" s="219"/>
      <c r="Q380" s="219"/>
      <c r="R380" s="219"/>
      <c r="S380" s="219"/>
      <c r="T380" s="219"/>
      <c r="U380" s="101"/>
      <c r="V380" s="101"/>
      <c r="W380" s="101"/>
      <c r="X380" s="101"/>
      <c r="Y380" s="101"/>
    </row>
    <row r="381" spans="1:25" s="4" customFormat="1">
      <c r="A381" s="206"/>
      <c r="B381" s="52" t="s">
        <v>286</v>
      </c>
      <c r="C381" s="53"/>
      <c r="D381" s="53"/>
      <c r="E381" s="61"/>
      <c r="F381" s="139"/>
      <c r="G381" s="317"/>
      <c r="H381" s="246"/>
      <c r="I381" s="219"/>
      <c r="J381" s="219"/>
      <c r="K381" s="219"/>
      <c r="L381" s="219"/>
      <c r="M381" s="219"/>
      <c r="N381" s="219"/>
      <c r="O381" s="219"/>
      <c r="P381" s="219"/>
      <c r="Q381" s="219"/>
      <c r="R381" s="219"/>
      <c r="S381" s="219"/>
      <c r="T381" s="219"/>
      <c r="U381" s="222"/>
      <c r="V381" s="222"/>
      <c r="W381" s="222"/>
      <c r="X381" s="222"/>
      <c r="Y381" s="222"/>
    </row>
    <row r="382" spans="1:25">
      <c r="A382" s="206"/>
      <c r="B382" s="36"/>
      <c r="C382" s="9" t="s">
        <v>31</v>
      </c>
      <c r="D382" s="9"/>
      <c r="E382" s="61"/>
      <c r="F382" s="139"/>
      <c r="G382" s="317"/>
      <c r="H382" s="246"/>
      <c r="I382" s="219"/>
      <c r="J382" s="219"/>
      <c r="K382" s="219"/>
      <c r="L382" s="219"/>
      <c r="M382" s="219"/>
      <c r="N382" s="219"/>
      <c r="O382" s="219"/>
      <c r="P382" s="219"/>
      <c r="Q382" s="219"/>
      <c r="R382" s="219"/>
      <c r="S382" s="219"/>
      <c r="T382" s="219"/>
      <c r="U382" s="101"/>
      <c r="V382" s="101"/>
      <c r="W382" s="101"/>
      <c r="X382" s="101"/>
      <c r="Y382" s="101"/>
    </row>
    <row r="383" spans="1:25">
      <c r="A383" s="206">
        <v>292</v>
      </c>
      <c r="B383" s="36"/>
      <c r="C383" s="9"/>
      <c r="D383" s="9" t="s">
        <v>209</v>
      </c>
      <c r="E383" s="18" t="s">
        <v>149</v>
      </c>
      <c r="F383" s="140" t="s">
        <v>208</v>
      </c>
      <c r="G383" s="312">
        <v>0</v>
      </c>
      <c r="H383" s="247"/>
      <c r="I383" s="219"/>
      <c r="J383" s="219"/>
      <c r="K383" s="219"/>
      <c r="L383" s="219"/>
      <c r="M383" s="219"/>
      <c r="N383" s="219"/>
      <c r="O383" s="219"/>
      <c r="P383" s="219"/>
      <c r="Q383" s="219"/>
      <c r="R383" s="219"/>
      <c r="S383" s="219"/>
      <c r="T383" s="219"/>
      <c r="U383" s="101"/>
      <c r="V383" s="101"/>
      <c r="W383" s="101"/>
      <c r="X383" s="101"/>
      <c r="Y383" s="101"/>
    </row>
    <row r="384" spans="1:25">
      <c r="A384" s="206">
        <v>293</v>
      </c>
      <c r="B384" s="36"/>
      <c r="C384" s="9"/>
      <c r="D384" s="9" t="s">
        <v>210</v>
      </c>
      <c r="E384" s="18" t="s">
        <v>152</v>
      </c>
      <c r="F384" s="140" t="s">
        <v>208</v>
      </c>
      <c r="G384" s="312">
        <v>0</v>
      </c>
      <c r="H384" s="247"/>
      <c r="I384" s="219"/>
      <c r="J384" s="219"/>
      <c r="K384" s="219"/>
      <c r="L384" s="219"/>
      <c r="M384" s="219"/>
      <c r="N384" s="219"/>
      <c r="O384" s="219"/>
      <c r="P384" s="219"/>
      <c r="Q384" s="219"/>
      <c r="R384" s="219"/>
      <c r="S384" s="219"/>
      <c r="T384" s="219"/>
      <c r="U384" s="101"/>
      <c r="V384" s="101"/>
      <c r="W384" s="101"/>
      <c r="X384" s="101"/>
      <c r="Y384" s="101"/>
    </row>
    <row r="385" spans="1:25">
      <c r="A385" s="206">
        <v>294</v>
      </c>
      <c r="B385" s="36"/>
      <c r="C385" s="9"/>
      <c r="D385" s="9" t="s">
        <v>211</v>
      </c>
      <c r="E385" s="18" t="s">
        <v>212</v>
      </c>
      <c r="F385" s="140" t="s">
        <v>208</v>
      </c>
      <c r="G385" s="312">
        <v>0</v>
      </c>
      <c r="H385" s="247"/>
      <c r="I385" s="219"/>
      <c r="J385" s="219"/>
      <c r="K385" s="219"/>
      <c r="L385" s="219"/>
      <c r="M385" s="219"/>
      <c r="N385" s="219"/>
      <c r="O385" s="219"/>
      <c r="P385" s="219"/>
      <c r="Q385" s="219"/>
      <c r="R385" s="219"/>
      <c r="S385" s="219"/>
      <c r="T385" s="219"/>
      <c r="U385" s="101"/>
      <c r="V385" s="101"/>
      <c r="W385" s="101"/>
      <c r="X385" s="101"/>
      <c r="Y385" s="101"/>
    </row>
    <row r="386" spans="1:25">
      <c r="A386" s="206">
        <v>295</v>
      </c>
      <c r="B386" s="36"/>
      <c r="C386" s="9"/>
      <c r="D386" s="9" t="s">
        <v>95</v>
      </c>
      <c r="E386" s="18" t="s">
        <v>96</v>
      </c>
      <c r="F386" s="140" t="s">
        <v>208</v>
      </c>
      <c r="G386" s="312">
        <v>0</v>
      </c>
      <c r="H386" s="247"/>
      <c r="I386" s="219"/>
      <c r="J386" s="219"/>
      <c r="K386" s="219"/>
      <c r="L386" s="219"/>
      <c r="M386" s="219"/>
      <c r="N386" s="219"/>
      <c r="O386" s="219"/>
      <c r="P386" s="219"/>
      <c r="Q386" s="219"/>
      <c r="R386" s="219"/>
      <c r="S386" s="219"/>
      <c r="T386" s="219"/>
      <c r="U386" s="101"/>
      <c r="V386" s="101"/>
      <c r="W386" s="101"/>
      <c r="X386" s="101"/>
      <c r="Y386" s="101"/>
    </row>
    <row r="387" spans="1:25">
      <c r="A387" s="206">
        <v>296</v>
      </c>
      <c r="B387" s="36"/>
      <c r="C387" s="85" t="s">
        <v>283</v>
      </c>
      <c r="D387" s="9"/>
      <c r="E387" s="18"/>
      <c r="F387" s="140"/>
      <c r="G387" s="312"/>
      <c r="H387" s="247"/>
      <c r="I387" s="219"/>
      <c r="J387" s="219"/>
      <c r="K387" s="219"/>
      <c r="L387" s="219"/>
      <c r="M387" s="219"/>
      <c r="N387" s="219"/>
      <c r="O387" s="219"/>
      <c r="P387" s="219"/>
      <c r="Q387" s="219"/>
      <c r="R387" s="219"/>
      <c r="S387" s="219"/>
      <c r="T387" s="219"/>
      <c r="U387" s="101"/>
      <c r="V387" s="101"/>
      <c r="W387" s="101"/>
      <c r="X387" s="101"/>
      <c r="Y387" s="101"/>
    </row>
    <row r="388" spans="1:25">
      <c r="A388" s="206">
        <v>297</v>
      </c>
      <c r="B388" s="36"/>
      <c r="C388" s="85"/>
      <c r="D388" s="9"/>
      <c r="E388" s="18"/>
      <c r="F388" s="140"/>
      <c r="G388" s="312"/>
      <c r="H388" s="247"/>
      <c r="I388" s="219"/>
      <c r="J388" s="219"/>
      <c r="K388" s="219"/>
      <c r="L388" s="219"/>
      <c r="M388" s="219"/>
      <c r="N388" s="219"/>
      <c r="O388" s="219"/>
      <c r="P388" s="219"/>
      <c r="Q388" s="219"/>
      <c r="R388" s="219"/>
      <c r="S388" s="219"/>
      <c r="T388" s="219"/>
      <c r="U388" s="101"/>
      <c r="V388" s="101"/>
      <c r="W388" s="101"/>
      <c r="X388" s="101"/>
      <c r="Y388" s="101"/>
    </row>
    <row r="389" spans="1:25" ht="15" thickBot="1">
      <c r="A389" s="206">
        <v>298</v>
      </c>
      <c r="B389" s="83"/>
      <c r="D389" s="13"/>
      <c r="E389" s="14"/>
      <c r="F389" s="148"/>
      <c r="G389" s="330"/>
      <c r="H389" s="262"/>
      <c r="I389" s="219"/>
      <c r="J389" s="219"/>
      <c r="K389" s="219"/>
      <c r="L389" s="219"/>
      <c r="M389" s="219"/>
      <c r="N389" s="219"/>
      <c r="O389" s="219"/>
      <c r="P389" s="219"/>
      <c r="Q389" s="219"/>
      <c r="R389" s="219"/>
      <c r="S389" s="219"/>
      <c r="T389" s="219"/>
      <c r="U389" s="101"/>
      <c r="V389" s="101"/>
      <c r="W389" s="101"/>
      <c r="X389" s="101"/>
      <c r="Y389" s="101"/>
    </row>
    <row r="390" spans="1:25" ht="15" thickBot="1">
      <c r="A390" s="210">
        <v>299</v>
      </c>
      <c r="B390" s="75" t="s">
        <v>287</v>
      </c>
      <c r="C390" s="76"/>
      <c r="D390" s="76"/>
      <c r="E390" s="45"/>
      <c r="F390" s="147"/>
      <c r="G390" s="327">
        <f>SUM(G382:G389)</f>
        <v>0</v>
      </c>
      <c r="H390" s="266"/>
      <c r="I390" s="219"/>
      <c r="J390" s="219"/>
      <c r="K390" s="219"/>
      <c r="L390" s="219"/>
      <c r="M390" s="219"/>
      <c r="N390" s="219"/>
      <c r="O390" s="219"/>
      <c r="P390" s="219"/>
      <c r="Q390" s="219"/>
      <c r="R390" s="219"/>
      <c r="S390" s="219"/>
      <c r="T390" s="219"/>
      <c r="U390" s="101"/>
      <c r="V390" s="101"/>
      <c r="W390" s="101"/>
      <c r="X390" s="101"/>
      <c r="Y390" s="101"/>
    </row>
    <row r="391" spans="1:25" ht="15" thickBot="1">
      <c r="A391" s="206"/>
      <c r="B391" s="36"/>
      <c r="C391" s="9"/>
      <c r="D391" s="9"/>
      <c r="E391" s="18"/>
      <c r="F391" s="140"/>
      <c r="G391" s="312"/>
      <c r="H391" s="247"/>
      <c r="I391" s="219"/>
      <c r="J391" s="219"/>
      <c r="K391" s="219"/>
      <c r="L391" s="219"/>
      <c r="M391" s="219"/>
      <c r="N391" s="219"/>
      <c r="O391" s="219"/>
      <c r="P391" s="219"/>
      <c r="Q391" s="219"/>
      <c r="R391" s="219"/>
      <c r="S391" s="219"/>
      <c r="T391" s="219"/>
      <c r="U391" s="101"/>
      <c r="V391" s="101"/>
      <c r="W391" s="101"/>
      <c r="X391" s="101"/>
      <c r="Y391" s="101"/>
    </row>
    <row r="392" spans="1:25" ht="15" thickBot="1">
      <c r="A392" s="210">
        <v>300</v>
      </c>
      <c r="B392" s="75" t="s">
        <v>213</v>
      </c>
      <c r="C392" s="76"/>
      <c r="D392" s="76"/>
      <c r="E392" s="45"/>
      <c r="F392" s="147"/>
      <c r="G392" s="327">
        <f>+G154+G327+G368+G379+G390</f>
        <v>3665458.9656337164</v>
      </c>
      <c r="H392" s="266"/>
      <c r="I392" s="219"/>
      <c r="J392" s="219"/>
      <c r="K392" s="219"/>
      <c r="L392" s="219"/>
      <c r="M392" s="219"/>
      <c r="N392" s="219"/>
      <c r="O392" s="219"/>
      <c r="P392" s="219"/>
      <c r="Q392" s="219"/>
      <c r="R392" s="219"/>
      <c r="S392" s="219"/>
      <c r="T392" s="219"/>
      <c r="U392" s="101"/>
      <c r="V392" s="101"/>
      <c r="W392" s="101"/>
      <c r="X392" s="101"/>
      <c r="Y392" s="101"/>
    </row>
    <row r="393" spans="1:25">
      <c r="A393" s="206"/>
      <c r="B393" s="36"/>
      <c r="C393" s="9"/>
      <c r="D393" s="9"/>
      <c r="E393" s="18"/>
      <c r="F393" s="140"/>
      <c r="G393" s="312"/>
      <c r="H393" s="247"/>
      <c r="I393" s="219"/>
      <c r="J393" s="219"/>
      <c r="K393" s="219"/>
      <c r="L393" s="219"/>
      <c r="M393" s="219"/>
      <c r="N393" s="219"/>
      <c r="O393" s="219"/>
      <c r="P393" s="219"/>
      <c r="Q393" s="219"/>
      <c r="R393" s="219"/>
      <c r="S393" s="219"/>
      <c r="T393" s="219"/>
      <c r="U393" s="101"/>
      <c r="V393" s="101"/>
      <c r="W393" s="101"/>
      <c r="X393" s="101"/>
      <c r="Y393" s="101"/>
    </row>
    <row r="394" spans="1:25" s="4" customFormat="1">
      <c r="A394" s="206"/>
      <c r="B394" s="86" t="s">
        <v>291</v>
      </c>
      <c r="C394" s="11"/>
      <c r="D394" s="11"/>
      <c r="E394" s="77"/>
      <c r="F394" s="151"/>
      <c r="G394" s="333"/>
      <c r="H394" s="265"/>
      <c r="I394" s="226"/>
      <c r="J394" s="226"/>
      <c r="K394" s="226"/>
      <c r="L394" s="226"/>
      <c r="M394" s="226"/>
      <c r="N394" s="226"/>
      <c r="O394" s="226"/>
      <c r="P394" s="226"/>
      <c r="Q394" s="226"/>
      <c r="R394" s="226"/>
      <c r="S394" s="226"/>
      <c r="T394" s="226"/>
      <c r="U394" s="222"/>
      <c r="V394" s="222"/>
      <c r="W394" s="222"/>
      <c r="X394" s="222"/>
      <c r="Y394" s="222"/>
    </row>
    <row r="395" spans="1:25">
      <c r="A395" s="206">
        <v>301</v>
      </c>
      <c r="B395" s="36" t="s">
        <v>4</v>
      </c>
      <c r="C395" s="9"/>
      <c r="D395" s="9"/>
      <c r="E395" s="18" t="s">
        <v>221</v>
      </c>
      <c r="F395" s="140" t="s">
        <v>253</v>
      </c>
      <c r="G395" s="312">
        <v>0</v>
      </c>
      <c r="H395" s="247"/>
      <c r="I395" s="219"/>
      <c r="J395" s="219"/>
      <c r="K395" s="219"/>
      <c r="L395" s="219"/>
      <c r="M395" s="219"/>
      <c r="N395" s="219"/>
      <c r="O395" s="219"/>
      <c r="P395" s="219"/>
      <c r="Q395" s="219"/>
      <c r="R395" s="219"/>
      <c r="S395" s="219"/>
      <c r="T395" s="219"/>
      <c r="U395" s="101"/>
      <c r="V395" s="101"/>
      <c r="W395" s="101"/>
      <c r="X395" s="101"/>
      <c r="Y395" s="101"/>
    </row>
    <row r="396" spans="1:25" ht="15" thickBot="1">
      <c r="A396" s="206">
        <v>302</v>
      </c>
      <c r="B396" s="36"/>
      <c r="C396" s="9"/>
      <c r="D396" s="9"/>
      <c r="E396" s="18"/>
      <c r="F396" s="140"/>
      <c r="G396" s="312"/>
      <c r="H396" s="247"/>
      <c r="I396" s="219"/>
      <c r="J396" s="219"/>
      <c r="K396" s="219"/>
      <c r="L396" s="219"/>
      <c r="M396" s="219"/>
      <c r="N396" s="219"/>
      <c r="O396" s="219"/>
      <c r="P396" s="219"/>
      <c r="Q396" s="219"/>
      <c r="R396" s="219"/>
      <c r="S396" s="219"/>
      <c r="T396" s="219"/>
      <c r="U396" s="101"/>
      <c r="V396" s="101"/>
      <c r="W396" s="101"/>
      <c r="X396" s="101"/>
      <c r="Y396" s="101"/>
    </row>
    <row r="397" spans="1:25" ht="15" thickBot="1">
      <c r="A397" s="210">
        <v>303</v>
      </c>
      <c r="B397" s="75" t="s">
        <v>214</v>
      </c>
      <c r="C397" s="76"/>
      <c r="D397" s="76"/>
      <c r="E397" s="45"/>
      <c r="F397" s="147"/>
      <c r="G397" s="327">
        <f>SUM(G393:G396)</f>
        <v>0</v>
      </c>
      <c r="H397" s="266"/>
      <c r="I397" s="219"/>
      <c r="J397" s="219"/>
      <c r="K397" s="219"/>
      <c r="L397" s="219"/>
      <c r="M397" s="219"/>
      <c r="N397" s="219"/>
      <c r="O397" s="219"/>
      <c r="P397" s="219"/>
      <c r="Q397" s="219"/>
      <c r="R397" s="219"/>
      <c r="S397" s="219"/>
      <c r="T397" s="219"/>
      <c r="U397" s="101"/>
      <c r="V397" s="101"/>
      <c r="W397" s="101"/>
      <c r="X397" s="101"/>
      <c r="Y397" s="101"/>
    </row>
    <row r="398" spans="1:25" ht="15" thickBot="1">
      <c r="A398" s="206"/>
      <c r="B398" s="36"/>
      <c r="C398" s="9"/>
      <c r="D398" s="9"/>
      <c r="E398" s="18"/>
      <c r="F398" s="140"/>
      <c r="G398" s="312"/>
      <c r="H398" s="247"/>
      <c r="I398" s="219"/>
      <c r="J398" s="219"/>
      <c r="K398" s="219"/>
      <c r="L398" s="219"/>
      <c r="M398" s="219"/>
      <c r="N398" s="219"/>
      <c r="O398" s="219"/>
      <c r="P398" s="219"/>
      <c r="Q398" s="219"/>
      <c r="R398" s="219"/>
      <c r="S398" s="219"/>
      <c r="T398" s="219"/>
      <c r="U398" s="101"/>
      <c r="V398" s="101"/>
      <c r="W398" s="101"/>
      <c r="X398" s="101"/>
      <c r="Y398" s="101"/>
    </row>
    <row r="399" spans="1:25" s="4" customFormat="1" ht="15" thickBot="1">
      <c r="A399" s="216" t="s">
        <v>215</v>
      </c>
      <c r="B399" s="75"/>
      <c r="C399" s="76"/>
      <c r="D399" s="76"/>
      <c r="E399" s="119"/>
      <c r="F399" s="158"/>
      <c r="G399" s="340"/>
      <c r="H399" s="274"/>
      <c r="I399" s="226"/>
      <c r="J399" s="226"/>
      <c r="K399" s="226"/>
      <c r="L399" s="226"/>
      <c r="M399" s="226"/>
      <c r="N399" s="226"/>
      <c r="O399" s="226"/>
      <c r="P399" s="226"/>
      <c r="Q399" s="226"/>
      <c r="R399" s="226"/>
      <c r="S399" s="226"/>
      <c r="T399" s="226"/>
      <c r="U399" s="222"/>
      <c r="V399" s="222"/>
      <c r="W399" s="222"/>
      <c r="X399" s="222"/>
      <c r="Y399" s="222"/>
    </row>
    <row r="400" spans="1:25">
      <c r="A400" s="213"/>
      <c r="B400" s="130"/>
      <c r="C400" s="129" t="s">
        <v>254</v>
      </c>
      <c r="D400" s="118"/>
      <c r="E400" s="135"/>
      <c r="F400" s="156"/>
      <c r="G400" s="338"/>
      <c r="H400" s="272"/>
      <c r="I400" s="219"/>
      <c r="J400" s="219"/>
      <c r="K400" s="219"/>
      <c r="L400" s="219"/>
      <c r="M400" s="219"/>
      <c r="N400" s="219"/>
      <c r="O400" s="219"/>
      <c r="P400" s="219"/>
      <c r="Q400" s="219"/>
      <c r="R400" s="219"/>
      <c r="S400" s="219"/>
      <c r="T400" s="219"/>
      <c r="U400" s="101"/>
      <c r="V400" s="101"/>
      <c r="W400" s="101"/>
      <c r="X400" s="101"/>
      <c r="Y400" s="101"/>
    </row>
    <row r="401" spans="1:25" ht="15" thickBot="1">
      <c r="A401" s="239">
        <v>304</v>
      </c>
      <c r="B401" s="240"/>
      <c r="C401" s="241" t="s">
        <v>3</v>
      </c>
      <c r="D401" s="242"/>
      <c r="E401" s="243"/>
      <c r="F401" s="244"/>
      <c r="G401" s="341">
        <f>+G70-G392-G397</f>
        <v>7064.4157490767539</v>
      </c>
      <c r="H401" s="275"/>
      <c r="I401" s="219"/>
      <c r="J401" s="219"/>
      <c r="K401" s="219"/>
      <c r="L401" s="219"/>
      <c r="M401" s="219"/>
      <c r="N401" s="219"/>
      <c r="O401" s="219"/>
      <c r="P401" s="219"/>
      <c r="Q401" s="219"/>
      <c r="R401" s="219"/>
      <c r="S401" s="219"/>
      <c r="T401" s="219"/>
      <c r="U401" s="101"/>
      <c r="V401" s="101"/>
      <c r="W401" s="101"/>
      <c r="X401" s="101"/>
      <c r="Y401" s="101"/>
    </row>
    <row r="402" spans="1:25" ht="15" thickTop="1">
      <c r="A402" s="202"/>
      <c r="H402" s="260"/>
      <c r="I402" s="225"/>
      <c r="J402" s="225"/>
      <c r="K402" s="225"/>
      <c r="L402" s="225"/>
      <c r="M402" s="101"/>
      <c r="N402" s="101"/>
      <c r="O402" s="101"/>
      <c r="P402" s="101"/>
      <c r="Q402" s="101"/>
      <c r="R402" s="101"/>
      <c r="S402" s="101"/>
      <c r="T402" s="101"/>
      <c r="U402" s="101"/>
      <c r="V402" s="101"/>
      <c r="W402" s="101"/>
      <c r="X402" s="101"/>
      <c r="Y402" s="101"/>
    </row>
    <row r="403" spans="1:25">
      <c r="A403" s="202"/>
      <c r="H403" s="260"/>
      <c r="I403" s="225"/>
      <c r="J403" s="225"/>
      <c r="K403" s="225"/>
      <c r="L403" s="225"/>
      <c r="M403" s="101"/>
      <c r="N403" s="101"/>
      <c r="O403" s="101"/>
      <c r="P403" s="101"/>
      <c r="Q403" s="101"/>
      <c r="R403" s="101"/>
      <c r="S403" s="101"/>
      <c r="T403" s="101"/>
      <c r="U403" s="101"/>
      <c r="V403" s="101"/>
      <c r="W403" s="101"/>
      <c r="X403" s="101"/>
      <c r="Y403" s="101"/>
    </row>
    <row r="404" spans="1:25">
      <c r="A404" s="202"/>
      <c r="H404" s="260"/>
      <c r="I404" s="225"/>
      <c r="J404" s="225"/>
      <c r="K404" s="225"/>
      <c r="L404" s="225"/>
      <c r="M404" s="101"/>
      <c r="N404" s="101"/>
      <c r="O404" s="101"/>
      <c r="P404" s="101"/>
      <c r="Q404" s="101"/>
      <c r="R404" s="101"/>
      <c r="S404" s="101"/>
      <c r="T404" s="101"/>
      <c r="U404" s="101"/>
      <c r="V404" s="101"/>
      <c r="W404" s="101"/>
      <c r="X404" s="101"/>
      <c r="Y404" s="101"/>
    </row>
    <row r="405" spans="1:25">
      <c r="A405" s="202"/>
      <c r="H405" s="260"/>
      <c r="I405" s="225"/>
      <c r="J405" s="225"/>
      <c r="K405" s="225"/>
      <c r="L405" s="225"/>
      <c r="M405" s="101"/>
      <c r="N405" s="101"/>
      <c r="O405" s="101"/>
      <c r="P405" s="101"/>
      <c r="Q405" s="101"/>
      <c r="R405" s="101"/>
      <c r="S405" s="101"/>
      <c r="T405" s="101"/>
      <c r="U405" s="101"/>
      <c r="V405" s="101"/>
      <c r="W405" s="101"/>
      <c r="X405" s="101"/>
      <c r="Y405" s="101"/>
    </row>
    <row r="406" spans="1:25">
      <c r="A406" s="202"/>
      <c r="H406" s="260"/>
      <c r="I406" s="101"/>
      <c r="J406" s="101"/>
      <c r="K406" s="101"/>
      <c r="L406" s="101"/>
      <c r="M406" s="101"/>
      <c r="N406" s="101"/>
      <c r="O406" s="101"/>
      <c r="P406" s="101"/>
      <c r="Q406" s="101"/>
      <c r="R406" s="101"/>
      <c r="S406" s="101"/>
      <c r="T406" s="101"/>
      <c r="U406" s="101"/>
      <c r="V406" s="101"/>
      <c r="W406" s="101"/>
      <c r="X406" s="101"/>
      <c r="Y406" s="101"/>
    </row>
    <row r="407" spans="1:25">
      <c r="A407" s="202"/>
      <c r="H407" s="260"/>
      <c r="I407" s="101"/>
      <c r="J407" s="101"/>
      <c r="K407" s="101"/>
      <c r="L407" s="101"/>
      <c r="M407" s="101"/>
      <c r="N407" s="101"/>
      <c r="O407" s="101"/>
      <c r="P407" s="101"/>
      <c r="Q407" s="101"/>
      <c r="R407" s="101"/>
      <c r="S407" s="101"/>
      <c r="T407" s="101"/>
      <c r="U407" s="101"/>
      <c r="V407" s="101"/>
      <c r="W407" s="101"/>
      <c r="X407" s="101"/>
      <c r="Y407" s="101"/>
    </row>
    <row r="408" spans="1:25">
      <c r="A408" s="202"/>
      <c r="H408" s="260"/>
      <c r="I408" s="101"/>
      <c r="J408" s="101"/>
      <c r="K408" s="101"/>
      <c r="L408" s="101"/>
      <c r="M408" s="101"/>
      <c r="N408" s="101"/>
      <c r="O408" s="101"/>
      <c r="P408" s="101"/>
      <c r="Q408" s="101"/>
      <c r="R408" s="101"/>
      <c r="S408" s="101"/>
      <c r="T408" s="101"/>
      <c r="U408" s="101"/>
      <c r="V408" s="101"/>
      <c r="W408" s="101"/>
      <c r="X408" s="101"/>
      <c r="Y408" s="101"/>
    </row>
    <row r="409" spans="1:25">
      <c r="A409" s="202"/>
      <c r="H409" s="260"/>
      <c r="I409" s="101"/>
      <c r="J409" s="101"/>
      <c r="K409" s="101"/>
      <c r="L409" s="101"/>
      <c r="M409" s="101"/>
      <c r="N409" s="101"/>
      <c r="O409" s="101"/>
      <c r="P409" s="101"/>
      <c r="Q409" s="101"/>
      <c r="R409" s="101"/>
      <c r="S409" s="101"/>
      <c r="T409" s="101"/>
      <c r="U409" s="101"/>
      <c r="V409" s="101"/>
      <c r="W409" s="101"/>
      <c r="X409" s="101"/>
      <c r="Y409" s="101"/>
    </row>
    <row r="410" spans="1:25">
      <c r="A410" s="202"/>
    </row>
    <row r="411" spans="1:25">
      <c r="A411" s="202"/>
    </row>
    <row r="412" spans="1:25">
      <c r="A412" s="202"/>
    </row>
    <row r="413" spans="1:25">
      <c r="A413" s="202"/>
    </row>
    <row r="414" spans="1:25">
      <c r="A414" s="202"/>
    </row>
    <row r="415" spans="1:25">
      <c r="A415" s="202"/>
    </row>
    <row r="416" spans="1:25">
      <c r="A416" s="202"/>
    </row>
    <row r="417" spans="1:1">
      <c r="A417" s="202"/>
    </row>
    <row r="418" spans="1:1">
      <c r="A418" s="202"/>
    </row>
    <row r="419" spans="1:1">
      <c r="A419" s="202"/>
    </row>
    <row r="420" spans="1:1">
      <c r="A420" s="202"/>
    </row>
    <row r="421" spans="1:1">
      <c r="A421" s="202"/>
    </row>
    <row r="422" spans="1:1">
      <c r="A422" s="202"/>
    </row>
    <row r="423" spans="1:1">
      <c r="A423" s="202"/>
    </row>
    <row r="424" spans="1:1">
      <c r="A424" s="202"/>
    </row>
    <row r="425" spans="1:1">
      <c r="A425" s="202"/>
    </row>
    <row r="426" spans="1:1">
      <c r="A426" s="202"/>
    </row>
    <row r="427" spans="1:1">
      <c r="A427" s="202"/>
    </row>
    <row r="428" spans="1:1">
      <c r="A428" s="202"/>
    </row>
    <row r="429" spans="1:1">
      <c r="A429" s="202"/>
    </row>
    <row r="430" spans="1:1">
      <c r="A430" s="202"/>
    </row>
    <row r="431" spans="1:1">
      <c r="A431" s="202"/>
    </row>
    <row r="432" spans="1:1">
      <c r="A432" s="202"/>
    </row>
    <row r="433" spans="1:1">
      <c r="A433" s="202"/>
    </row>
    <row r="434" spans="1:1">
      <c r="A434" s="202"/>
    </row>
    <row r="435" spans="1:1">
      <c r="A435" s="202"/>
    </row>
    <row r="436" spans="1:1">
      <c r="A436" s="202"/>
    </row>
    <row r="437" spans="1:1">
      <c r="A437" s="202"/>
    </row>
    <row r="438" spans="1:1">
      <c r="A438" s="202"/>
    </row>
    <row r="439" spans="1:1">
      <c r="A439" s="202"/>
    </row>
    <row r="440" spans="1:1">
      <c r="A440" s="202"/>
    </row>
    <row r="441" spans="1:1">
      <c r="A441" s="202"/>
    </row>
    <row r="442" spans="1:1">
      <c r="A442" s="202"/>
    </row>
    <row r="443" spans="1:1">
      <c r="A443" s="202"/>
    </row>
    <row r="444" spans="1:1">
      <c r="A444" s="202"/>
    </row>
    <row r="445" spans="1:1">
      <c r="A445" s="202"/>
    </row>
    <row r="446" spans="1:1">
      <c r="A446" s="202"/>
    </row>
    <row r="447" spans="1:1">
      <c r="A447" s="202"/>
    </row>
    <row r="448" spans="1:1">
      <c r="A448" s="202"/>
    </row>
    <row r="449" spans="1:1">
      <c r="A449" s="202"/>
    </row>
    <row r="450" spans="1:1">
      <c r="A450" s="202"/>
    </row>
    <row r="451" spans="1:1">
      <c r="A451" s="202"/>
    </row>
    <row r="452" spans="1:1">
      <c r="A452" s="202"/>
    </row>
    <row r="453" spans="1:1">
      <c r="A453" s="202"/>
    </row>
    <row r="454" spans="1:1">
      <c r="A454" s="202"/>
    </row>
    <row r="455" spans="1:1">
      <c r="A455" s="202"/>
    </row>
    <row r="456" spans="1:1">
      <c r="A456" s="202"/>
    </row>
    <row r="457" spans="1:1">
      <c r="A457" s="202"/>
    </row>
    <row r="458" spans="1:1">
      <c r="A458" s="202"/>
    </row>
    <row r="459" spans="1:1">
      <c r="A459" s="202"/>
    </row>
    <row r="460" spans="1:1">
      <c r="A460" s="202"/>
    </row>
    <row r="461" spans="1:1">
      <c r="A461" s="202"/>
    </row>
    <row r="462" spans="1:1">
      <c r="A462" s="202"/>
    </row>
    <row r="463" spans="1:1">
      <c r="A463" s="202"/>
    </row>
    <row r="464" spans="1:1">
      <c r="A464" s="202"/>
    </row>
    <row r="465" spans="1:1">
      <c r="A465" s="202"/>
    </row>
    <row r="466" spans="1:1">
      <c r="A466" s="202"/>
    </row>
    <row r="467" spans="1:1">
      <c r="A467" s="202"/>
    </row>
    <row r="468" spans="1:1">
      <c r="A468" s="202"/>
    </row>
    <row r="469" spans="1:1">
      <c r="A469" s="202"/>
    </row>
    <row r="470" spans="1:1">
      <c r="A470" s="202"/>
    </row>
    <row r="471" spans="1:1">
      <c r="A471" s="202"/>
    </row>
    <row r="472" spans="1:1">
      <c r="A472" s="202"/>
    </row>
    <row r="473" spans="1:1">
      <c r="A473" s="202"/>
    </row>
    <row r="474" spans="1:1">
      <c r="A474" s="202"/>
    </row>
    <row r="475" spans="1:1">
      <c r="A475" s="202"/>
    </row>
    <row r="476" spans="1:1">
      <c r="A476" s="202"/>
    </row>
    <row r="477" spans="1:1">
      <c r="A477" s="202"/>
    </row>
    <row r="478" spans="1:1">
      <c r="A478" s="202"/>
    </row>
    <row r="479" spans="1:1">
      <c r="A479" s="202"/>
    </row>
    <row r="480" spans="1:1">
      <c r="A480" s="202"/>
    </row>
    <row r="481" spans="1:1">
      <c r="A481" s="202"/>
    </row>
    <row r="482" spans="1:1">
      <c r="A482" s="202"/>
    </row>
    <row r="483" spans="1:1">
      <c r="A483" s="202"/>
    </row>
    <row r="484" spans="1:1">
      <c r="A484" s="202"/>
    </row>
    <row r="485" spans="1:1">
      <c r="A485" s="202"/>
    </row>
    <row r="486" spans="1:1">
      <c r="A486" s="202"/>
    </row>
    <row r="487" spans="1:1">
      <c r="A487" s="202"/>
    </row>
    <row r="488" spans="1:1">
      <c r="A488" s="202"/>
    </row>
    <row r="489" spans="1:1">
      <c r="A489" s="202"/>
    </row>
    <row r="490" spans="1:1">
      <c r="A490" s="202"/>
    </row>
    <row r="491" spans="1:1">
      <c r="A491" s="202"/>
    </row>
    <row r="492" spans="1:1">
      <c r="A492" s="202"/>
    </row>
    <row r="493" spans="1:1">
      <c r="A493" s="202"/>
    </row>
    <row r="494" spans="1:1">
      <c r="A494" s="202"/>
    </row>
    <row r="495" spans="1:1">
      <c r="A495" s="202"/>
    </row>
    <row r="496" spans="1:1">
      <c r="A496" s="202"/>
    </row>
    <row r="497" spans="1:1">
      <c r="A497" s="202"/>
    </row>
    <row r="498" spans="1:1">
      <c r="A498" s="202"/>
    </row>
    <row r="499" spans="1:1">
      <c r="A499" s="202"/>
    </row>
    <row r="500" spans="1:1">
      <c r="A500" s="202"/>
    </row>
    <row r="501" spans="1:1">
      <c r="A501" s="202"/>
    </row>
    <row r="502" spans="1:1">
      <c r="A502" s="202"/>
    </row>
    <row r="503" spans="1:1">
      <c r="A503" s="202"/>
    </row>
    <row r="504" spans="1:1">
      <c r="A504" s="202"/>
    </row>
    <row r="505" spans="1:1">
      <c r="A505" s="202"/>
    </row>
    <row r="506" spans="1:1">
      <c r="A506" s="202"/>
    </row>
    <row r="507" spans="1:1">
      <c r="A507" s="202"/>
    </row>
    <row r="508" spans="1:1">
      <c r="A508" s="202"/>
    </row>
    <row r="509" spans="1:1">
      <c r="A509" s="202"/>
    </row>
    <row r="510" spans="1:1">
      <c r="A510" s="202"/>
    </row>
    <row r="511" spans="1:1">
      <c r="A511" s="202"/>
    </row>
    <row r="512" spans="1:1">
      <c r="A512" s="202"/>
    </row>
    <row r="513" spans="1:1">
      <c r="A513" s="202"/>
    </row>
    <row r="514" spans="1:1">
      <c r="A514" s="202"/>
    </row>
    <row r="515" spans="1:1">
      <c r="A515" s="202"/>
    </row>
    <row r="516" spans="1:1">
      <c r="A516" s="202"/>
    </row>
    <row r="517" spans="1:1">
      <c r="A517" s="202"/>
    </row>
    <row r="518" spans="1:1">
      <c r="A518" s="202"/>
    </row>
    <row r="519" spans="1:1">
      <c r="A519" s="202"/>
    </row>
    <row r="520" spans="1:1">
      <c r="A520" s="202"/>
    </row>
    <row r="521" spans="1:1">
      <c r="A521" s="202"/>
    </row>
    <row r="522" spans="1:1">
      <c r="A522" s="202"/>
    </row>
    <row r="523" spans="1:1">
      <c r="A523" s="202"/>
    </row>
    <row r="524" spans="1:1">
      <c r="A524" s="202"/>
    </row>
    <row r="525" spans="1:1">
      <c r="A525" s="202"/>
    </row>
    <row r="526" spans="1:1">
      <c r="A526" s="202"/>
    </row>
    <row r="527" spans="1:1">
      <c r="A527" s="202"/>
    </row>
    <row r="528" spans="1:1">
      <c r="A528" s="202"/>
    </row>
    <row r="529" spans="1:1">
      <c r="A529" s="202"/>
    </row>
    <row r="530" spans="1:1">
      <c r="A530" s="202"/>
    </row>
    <row r="531" spans="1:1">
      <c r="A531" s="202"/>
    </row>
    <row r="532" spans="1:1">
      <c r="A532" s="202"/>
    </row>
    <row r="533" spans="1:1">
      <c r="A533" s="202"/>
    </row>
    <row r="534" spans="1:1">
      <c r="A534" s="202"/>
    </row>
    <row r="535" spans="1:1">
      <c r="A535" s="202"/>
    </row>
    <row r="536" spans="1:1">
      <c r="A536" s="202"/>
    </row>
    <row r="537" spans="1:1">
      <c r="A537" s="202"/>
    </row>
    <row r="538" spans="1:1">
      <c r="A538" s="202"/>
    </row>
    <row r="539" spans="1:1">
      <c r="A539" s="202"/>
    </row>
    <row r="540" spans="1:1">
      <c r="A540" s="202"/>
    </row>
    <row r="541" spans="1:1">
      <c r="A541" s="202"/>
    </row>
    <row r="542" spans="1:1">
      <c r="A542" s="202"/>
    </row>
    <row r="543" spans="1:1">
      <c r="A543" s="202"/>
    </row>
    <row r="544" spans="1:1">
      <c r="A544" s="202"/>
    </row>
    <row r="545" spans="1:1">
      <c r="A545" s="202"/>
    </row>
    <row r="546" spans="1:1">
      <c r="A546" s="202"/>
    </row>
    <row r="547" spans="1:1">
      <c r="A547" s="202"/>
    </row>
    <row r="548" spans="1:1">
      <c r="A548" s="202"/>
    </row>
    <row r="549" spans="1:1">
      <c r="A549" s="202"/>
    </row>
    <row r="550" spans="1:1">
      <c r="A550" s="202"/>
    </row>
    <row r="551" spans="1:1">
      <c r="A551" s="202"/>
    </row>
    <row r="552" spans="1:1">
      <c r="A552" s="202"/>
    </row>
    <row r="553" spans="1:1">
      <c r="A553" s="202"/>
    </row>
    <row r="554" spans="1:1">
      <c r="A554" s="202"/>
    </row>
    <row r="555" spans="1:1">
      <c r="A555" s="202"/>
    </row>
    <row r="556" spans="1:1">
      <c r="A556" s="202"/>
    </row>
    <row r="557" spans="1:1">
      <c r="A557" s="202"/>
    </row>
    <row r="558" spans="1:1">
      <c r="A558" s="202"/>
    </row>
    <row r="559" spans="1:1">
      <c r="A559" s="202"/>
    </row>
    <row r="560" spans="1:1">
      <c r="A560" s="202"/>
    </row>
    <row r="561" spans="1:1">
      <c r="A561" s="202"/>
    </row>
    <row r="562" spans="1:1">
      <c r="A562" s="202"/>
    </row>
    <row r="563" spans="1:1">
      <c r="A563" s="202"/>
    </row>
    <row r="564" spans="1:1">
      <c r="A564" s="202"/>
    </row>
    <row r="565" spans="1:1">
      <c r="A565" s="202"/>
    </row>
    <row r="566" spans="1:1">
      <c r="A566" s="202"/>
    </row>
    <row r="567" spans="1:1">
      <c r="A567" s="202"/>
    </row>
    <row r="568" spans="1:1">
      <c r="A568" s="202"/>
    </row>
    <row r="569" spans="1:1">
      <c r="A569" s="202"/>
    </row>
    <row r="570" spans="1:1">
      <c r="A570" s="202"/>
    </row>
    <row r="571" spans="1:1">
      <c r="A571" s="202"/>
    </row>
    <row r="572" spans="1:1">
      <c r="A572" s="202"/>
    </row>
    <row r="573" spans="1:1">
      <c r="A573" s="202"/>
    </row>
    <row r="574" spans="1:1">
      <c r="A574" s="202"/>
    </row>
    <row r="575" spans="1:1">
      <c r="A575" s="202"/>
    </row>
    <row r="576" spans="1:1">
      <c r="A576" s="202"/>
    </row>
    <row r="577" spans="1:1">
      <c r="A577" s="202"/>
    </row>
    <row r="578" spans="1:1">
      <c r="A578" s="202"/>
    </row>
    <row r="579" spans="1:1">
      <c r="A579" s="202"/>
    </row>
    <row r="580" spans="1:1">
      <c r="A580" s="202"/>
    </row>
    <row r="581" spans="1:1">
      <c r="A581" s="202"/>
    </row>
    <row r="582" spans="1:1">
      <c r="A582" s="202"/>
    </row>
    <row r="583" spans="1:1">
      <c r="A583" s="202"/>
    </row>
    <row r="584" spans="1:1">
      <c r="A584" s="202"/>
    </row>
    <row r="585" spans="1:1">
      <c r="A585" s="202"/>
    </row>
    <row r="586" spans="1:1">
      <c r="A586" s="202"/>
    </row>
    <row r="587" spans="1:1">
      <c r="A587" s="202"/>
    </row>
    <row r="588" spans="1:1">
      <c r="A588" s="202"/>
    </row>
    <row r="589" spans="1:1">
      <c r="A589" s="202"/>
    </row>
    <row r="590" spans="1:1">
      <c r="A590" s="202"/>
    </row>
    <row r="591" spans="1:1">
      <c r="A591" s="202"/>
    </row>
    <row r="592" spans="1:1">
      <c r="A592" s="202"/>
    </row>
    <row r="593" spans="1:1">
      <c r="A593" s="202"/>
    </row>
    <row r="594" spans="1:1">
      <c r="A594" s="202"/>
    </row>
    <row r="595" spans="1:1">
      <c r="A595" s="202"/>
    </row>
    <row r="596" spans="1:1">
      <c r="A596" s="202"/>
    </row>
    <row r="597" spans="1:1">
      <c r="A597" s="202"/>
    </row>
    <row r="598" spans="1:1">
      <c r="A598" s="202"/>
    </row>
    <row r="599" spans="1:1">
      <c r="A599" s="202"/>
    </row>
    <row r="600" spans="1:1">
      <c r="A600" s="202"/>
    </row>
    <row r="601" spans="1:1">
      <c r="A601" s="202"/>
    </row>
    <row r="602" spans="1:1">
      <c r="A602" s="202"/>
    </row>
    <row r="603" spans="1:1">
      <c r="A603" s="202"/>
    </row>
    <row r="604" spans="1:1">
      <c r="A604" s="202"/>
    </row>
    <row r="605" spans="1:1">
      <c r="A605" s="202"/>
    </row>
    <row r="606" spans="1:1">
      <c r="A606" s="202"/>
    </row>
    <row r="607" spans="1:1">
      <c r="A607" s="202"/>
    </row>
    <row r="608" spans="1:1">
      <c r="A608" s="202"/>
    </row>
    <row r="609" spans="1:1">
      <c r="A609" s="202"/>
    </row>
    <row r="610" spans="1:1">
      <c r="A610" s="202"/>
    </row>
    <row r="611" spans="1:1">
      <c r="A611" s="202"/>
    </row>
    <row r="612" spans="1:1">
      <c r="A612" s="202"/>
    </row>
    <row r="613" spans="1:1">
      <c r="A613" s="202"/>
    </row>
    <row r="614" spans="1:1">
      <c r="A614" s="202"/>
    </row>
    <row r="615" spans="1:1">
      <c r="A615" s="202"/>
    </row>
    <row r="616" spans="1:1">
      <c r="A616" s="202"/>
    </row>
    <row r="617" spans="1:1">
      <c r="A617" s="202"/>
    </row>
    <row r="618" spans="1:1">
      <c r="A618" s="202"/>
    </row>
    <row r="619" spans="1:1">
      <c r="A619" s="202"/>
    </row>
    <row r="620" spans="1:1">
      <c r="A620" s="202"/>
    </row>
    <row r="621" spans="1:1">
      <c r="A621" s="202"/>
    </row>
    <row r="622" spans="1:1">
      <c r="A622" s="202"/>
    </row>
    <row r="623" spans="1:1">
      <c r="A623" s="202"/>
    </row>
    <row r="624" spans="1:1">
      <c r="A624" s="202"/>
    </row>
    <row r="625" spans="1:1">
      <c r="A625" s="202"/>
    </row>
    <row r="626" spans="1:1">
      <c r="A626" s="202"/>
    </row>
    <row r="627" spans="1:1">
      <c r="A627" s="202"/>
    </row>
    <row r="628" spans="1:1">
      <c r="A628" s="202"/>
    </row>
    <row r="629" spans="1:1">
      <c r="A629" s="202"/>
    </row>
    <row r="630" spans="1:1">
      <c r="A630" s="202"/>
    </row>
    <row r="631" spans="1:1">
      <c r="A631" s="202"/>
    </row>
    <row r="632" spans="1:1">
      <c r="A632" s="202"/>
    </row>
    <row r="633" spans="1:1">
      <c r="A633" s="202"/>
    </row>
    <row r="634" spans="1:1">
      <c r="A634" s="202"/>
    </row>
    <row r="635" spans="1:1">
      <c r="A635" s="202"/>
    </row>
    <row r="636" spans="1:1">
      <c r="A636" s="202"/>
    </row>
    <row r="637" spans="1:1">
      <c r="A637" s="202"/>
    </row>
    <row r="638" spans="1:1">
      <c r="A638" s="202"/>
    </row>
    <row r="639" spans="1:1">
      <c r="A639" s="202"/>
    </row>
    <row r="640" spans="1:1">
      <c r="A640" s="202"/>
    </row>
    <row r="641" spans="1:1">
      <c r="A641" s="202"/>
    </row>
    <row r="642" spans="1:1">
      <c r="A642" s="202"/>
    </row>
    <row r="643" spans="1:1">
      <c r="A643" s="202"/>
    </row>
    <row r="644" spans="1:1">
      <c r="A644" s="202"/>
    </row>
    <row r="645" spans="1:1">
      <c r="A645" s="202"/>
    </row>
    <row r="646" spans="1:1">
      <c r="A646" s="202"/>
    </row>
    <row r="647" spans="1:1">
      <c r="A647" s="202"/>
    </row>
    <row r="648" spans="1:1">
      <c r="A648" s="202"/>
    </row>
    <row r="649" spans="1:1">
      <c r="A649" s="202"/>
    </row>
    <row r="650" spans="1:1">
      <c r="A650" s="202"/>
    </row>
    <row r="651" spans="1:1">
      <c r="A651" s="202"/>
    </row>
    <row r="652" spans="1:1">
      <c r="A652" s="202"/>
    </row>
    <row r="653" spans="1:1">
      <c r="A653" s="202"/>
    </row>
    <row r="654" spans="1:1">
      <c r="A654" s="202"/>
    </row>
    <row r="655" spans="1:1">
      <c r="A655" s="202"/>
    </row>
    <row r="656" spans="1:1">
      <c r="A656" s="202"/>
    </row>
    <row r="657" spans="1:1">
      <c r="A657" s="202"/>
    </row>
    <row r="658" spans="1:1">
      <c r="A658" s="202"/>
    </row>
    <row r="659" spans="1:1">
      <c r="A659" s="202"/>
    </row>
    <row r="660" spans="1:1">
      <c r="A660" s="202"/>
    </row>
    <row r="661" spans="1:1">
      <c r="A661" s="202"/>
    </row>
    <row r="662" spans="1:1">
      <c r="A662" s="202"/>
    </row>
    <row r="663" spans="1:1">
      <c r="A663" s="202"/>
    </row>
    <row r="664" spans="1:1">
      <c r="A664" s="202"/>
    </row>
    <row r="665" spans="1:1">
      <c r="A665" s="202"/>
    </row>
    <row r="666" spans="1:1">
      <c r="A666" s="202"/>
    </row>
    <row r="667" spans="1:1">
      <c r="A667" s="202"/>
    </row>
    <row r="668" spans="1:1">
      <c r="A668" s="202"/>
    </row>
    <row r="669" spans="1:1">
      <c r="A669" s="202"/>
    </row>
    <row r="670" spans="1:1">
      <c r="A670" s="202"/>
    </row>
    <row r="671" spans="1:1">
      <c r="A671" s="202"/>
    </row>
    <row r="672" spans="1:1">
      <c r="A672" s="202"/>
    </row>
    <row r="673" spans="1:1">
      <c r="A673" s="202"/>
    </row>
    <row r="674" spans="1:1">
      <c r="A674" s="202"/>
    </row>
    <row r="675" spans="1:1">
      <c r="A675" s="202"/>
    </row>
    <row r="676" spans="1:1">
      <c r="A676" s="202"/>
    </row>
    <row r="677" spans="1:1">
      <c r="A677" s="202"/>
    </row>
    <row r="678" spans="1:1">
      <c r="A678" s="202"/>
    </row>
    <row r="679" spans="1:1">
      <c r="A679" s="202"/>
    </row>
    <row r="680" spans="1:1">
      <c r="A680" s="202"/>
    </row>
    <row r="681" spans="1:1">
      <c r="A681" s="202"/>
    </row>
    <row r="682" spans="1:1">
      <c r="A682" s="202"/>
    </row>
    <row r="683" spans="1:1">
      <c r="A683" s="202"/>
    </row>
    <row r="684" spans="1:1">
      <c r="A684" s="202"/>
    </row>
    <row r="685" spans="1:1">
      <c r="A685" s="202"/>
    </row>
    <row r="686" spans="1:1">
      <c r="A686" s="202"/>
    </row>
    <row r="687" spans="1:1">
      <c r="A687" s="202"/>
    </row>
    <row r="688" spans="1:1">
      <c r="A688" s="202"/>
    </row>
    <row r="689" spans="1:1">
      <c r="A689" s="202"/>
    </row>
    <row r="690" spans="1:1">
      <c r="A690" s="202"/>
    </row>
    <row r="691" spans="1:1">
      <c r="A691" s="202"/>
    </row>
    <row r="692" spans="1:1">
      <c r="A692" s="202"/>
    </row>
    <row r="693" spans="1:1">
      <c r="A693" s="202"/>
    </row>
    <row r="694" spans="1:1">
      <c r="A694" s="202"/>
    </row>
    <row r="695" spans="1:1">
      <c r="A695" s="202"/>
    </row>
    <row r="696" spans="1:1">
      <c r="A696" s="202"/>
    </row>
    <row r="697" spans="1:1">
      <c r="A697" s="202"/>
    </row>
    <row r="698" spans="1:1">
      <c r="A698" s="202"/>
    </row>
    <row r="699" spans="1:1">
      <c r="A699" s="202"/>
    </row>
  </sheetData>
  <mergeCells count="20">
    <mergeCell ref="Q6:Q7"/>
    <mergeCell ref="R6:R7"/>
    <mergeCell ref="S6:S7"/>
    <mergeCell ref="T6:T7"/>
    <mergeCell ref="M6:M7"/>
    <mergeCell ref="N6:N7"/>
    <mergeCell ref="O6:O7"/>
    <mergeCell ref="P6:P7"/>
    <mergeCell ref="A2:H2"/>
    <mergeCell ref="A38:H38"/>
    <mergeCell ref="L6:L7"/>
    <mergeCell ref="B6:D7"/>
    <mergeCell ref="I6:I7"/>
    <mergeCell ref="J6:J7"/>
    <mergeCell ref="K6:K7"/>
    <mergeCell ref="E6:E7"/>
    <mergeCell ref="F6:F7"/>
    <mergeCell ref="H6:H7"/>
    <mergeCell ref="A4:H4"/>
    <mergeCell ref="G6:G7"/>
  </mergeCells>
  <phoneticPr fontId="0" type="noConversion"/>
  <printOptions horizontalCentered="1"/>
  <pageMargins left="0.27" right="0.16" top="0.17" bottom="0.26" header="0.28999999999999998" footer="0.17"/>
  <pageSetup scale="75" orientation="landscape"/>
  <headerFooter alignWithMargins="0"/>
  <rowBreaks count="14" manualBreakCount="14">
    <brk id="40" max="16383" man="1"/>
    <brk id="73" max="16383" man="1"/>
    <brk id="100" max="16383" man="1"/>
    <brk id="127" max="16383" man="1"/>
    <brk id="154" max="16383" man="1"/>
    <brk id="188" max="16383" man="1"/>
    <brk id="204" max="16383" man="1"/>
    <brk id="229" max="16383" man="1"/>
    <brk id="254" max="16383" man="1"/>
    <brk id="286" max="16383" man="1"/>
    <brk id="308" max="16383" man="1"/>
    <brk id="327" max="16383" man="1"/>
    <brk id="350" max="16383" man="1"/>
    <brk id="37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M409"/>
  <sheetViews>
    <sheetView tabSelected="1" zoomScaleNormal="100" zoomScalePageLayoutView="80" workbookViewId="0">
      <pane xSplit="4" ySplit="7" topLeftCell="E8" activePane="bottomRight" state="frozen"/>
      <selection activeCell="A12" sqref="A12:O12"/>
      <selection pane="topRight" activeCell="A12" sqref="A12:O12"/>
      <selection pane="bottomLeft" activeCell="A12" sqref="A12:O12"/>
      <selection pane="bottomRight" activeCell="G79" sqref="G79"/>
    </sheetView>
  </sheetViews>
  <sheetFormatPr baseColWidth="10" defaultColWidth="9.1640625" defaultRowHeight="14"/>
  <cols>
    <col min="1" max="1" width="4.1640625" style="32" customWidth="1"/>
    <col min="2" max="2" width="5.33203125" style="13" customWidth="1"/>
    <col min="3" max="3" width="4.6640625" style="13" customWidth="1"/>
    <col min="4" max="4" width="48.6640625" style="2" customWidth="1"/>
    <col min="5" max="5" width="8.6640625" style="3" customWidth="1"/>
    <col min="6" max="6" width="12.6640625" style="3" customWidth="1"/>
    <col min="7" max="11" width="11.6640625" style="396" customWidth="1"/>
    <col min="12" max="12" width="85.83203125" style="261" customWidth="1"/>
    <col min="13" max="16384" width="9.1640625" style="2"/>
  </cols>
  <sheetData>
    <row r="1" spans="1:13" ht="33.75" customHeight="1">
      <c r="A1" s="290" t="s">
        <v>272</v>
      </c>
      <c r="B1" s="291"/>
      <c r="C1" s="291"/>
      <c r="D1" s="296" t="s">
        <v>512</v>
      </c>
      <c r="E1" s="5"/>
      <c r="F1" s="5"/>
      <c r="G1" s="369"/>
      <c r="H1" s="369"/>
      <c r="I1" s="369"/>
      <c r="J1" s="369"/>
      <c r="K1" s="369"/>
      <c r="L1" s="252"/>
    </row>
    <row r="2" spans="1:13" ht="18" customHeight="1">
      <c r="A2" s="8" t="s">
        <v>360</v>
      </c>
      <c r="B2" s="21"/>
      <c r="C2" s="21"/>
      <c r="D2" s="5"/>
      <c r="E2" s="5"/>
      <c r="F2" s="5"/>
      <c r="G2" s="369"/>
      <c r="H2" s="369"/>
      <c r="I2" s="369"/>
      <c r="J2" s="369"/>
      <c r="K2" s="369"/>
      <c r="L2" s="2"/>
    </row>
    <row r="3" spans="1:13" ht="18" customHeight="1">
      <c r="A3" s="8"/>
      <c r="B3" s="21"/>
      <c r="C3" s="21"/>
      <c r="D3" s="5"/>
      <c r="E3" s="5"/>
      <c r="F3" s="5"/>
      <c r="G3" s="369"/>
      <c r="H3" s="369"/>
      <c r="I3" s="369"/>
      <c r="J3" s="369"/>
      <c r="K3" s="369"/>
      <c r="L3" s="2"/>
    </row>
    <row r="4" spans="1:13" ht="33" customHeight="1">
      <c r="A4" s="507" t="s">
        <v>364</v>
      </c>
      <c r="B4" s="507"/>
      <c r="C4" s="507"/>
      <c r="D4" s="507"/>
      <c r="E4" s="507"/>
      <c r="F4" s="507"/>
      <c r="G4" s="507"/>
      <c r="H4" s="507"/>
      <c r="I4" s="507"/>
      <c r="J4" s="507"/>
      <c r="K4" s="507"/>
      <c r="L4" s="507"/>
    </row>
    <row r="5" spans="1:13" ht="18.75" customHeight="1" thickBot="1">
      <c r="A5" s="27"/>
      <c r="B5" s="21"/>
      <c r="C5" s="21"/>
      <c r="D5" s="5"/>
      <c r="E5" s="5"/>
      <c r="F5" s="5"/>
      <c r="G5" s="369"/>
      <c r="H5" s="369"/>
      <c r="I5" s="369"/>
      <c r="J5" s="369"/>
      <c r="K5" s="369"/>
      <c r="L5" s="252"/>
    </row>
    <row r="6" spans="1:13" s="1" customFormat="1" ht="15.75" customHeight="1" thickTop="1">
      <c r="A6" s="28"/>
      <c r="B6" s="484" t="s">
        <v>239</v>
      </c>
      <c r="C6" s="485"/>
      <c r="D6" s="485"/>
      <c r="E6" s="487" t="s">
        <v>232</v>
      </c>
      <c r="F6" s="489" t="s">
        <v>233</v>
      </c>
      <c r="G6" s="508" t="s">
        <v>234</v>
      </c>
      <c r="H6" s="508" t="s">
        <v>235</v>
      </c>
      <c r="I6" s="508" t="s">
        <v>236</v>
      </c>
      <c r="J6" s="508" t="s">
        <v>237</v>
      </c>
      <c r="K6" s="508" t="s">
        <v>238</v>
      </c>
      <c r="L6" s="500" t="s">
        <v>315</v>
      </c>
    </row>
    <row r="7" spans="1:13" s="40" customFormat="1" ht="15" thickBot="1">
      <c r="A7" s="37"/>
      <c r="B7" s="496"/>
      <c r="C7" s="496"/>
      <c r="D7" s="496"/>
      <c r="E7" s="497"/>
      <c r="F7" s="511"/>
      <c r="G7" s="509" t="s">
        <v>235</v>
      </c>
      <c r="H7" s="509" t="s">
        <v>235</v>
      </c>
      <c r="I7" s="509" t="s">
        <v>236</v>
      </c>
      <c r="J7" s="512" t="s">
        <v>237</v>
      </c>
      <c r="K7" s="512" t="s">
        <v>238</v>
      </c>
      <c r="L7" s="501"/>
    </row>
    <row r="8" spans="1:13" s="39" customFormat="1" ht="20.25" customHeight="1" thickTop="1">
      <c r="A8" s="38"/>
      <c r="B8" s="41" t="s">
        <v>267</v>
      </c>
      <c r="E8" s="69"/>
      <c r="F8" s="70"/>
      <c r="G8" s="370"/>
      <c r="H8" s="398"/>
      <c r="I8" s="398"/>
      <c r="J8" s="398"/>
      <c r="K8" s="417"/>
      <c r="L8" s="253"/>
    </row>
    <row r="9" spans="1:13" ht="3" customHeight="1">
      <c r="A9" s="29"/>
      <c r="B9" s="35"/>
      <c r="C9" s="12"/>
      <c r="D9" s="12"/>
      <c r="E9" s="71"/>
      <c r="F9" s="72"/>
      <c r="G9" s="371"/>
      <c r="H9" s="399"/>
      <c r="I9" s="399"/>
      <c r="J9" s="399"/>
      <c r="K9" s="418"/>
      <c r="L9" s="254"/>
    </row>
    <row r="10" spans="1:13">
      <c r="A10" s="30"/>
      <c r="B10" s="25" t="s">
        <v>32</v>
      </c>
      <c r="C10" s="11"/>
      <c r="D10" s="11"/>
      <c r="E10" s="61"/>
      <c r="F10" s="62"/>
      <c r="G10" s="372"/>
      <c r="H10" s="400"/>
      <c r="I10" s="400"/>
      <c r="J10" s="400"/>
      <c r="K10" s="419"/>
      <c r="L10" s="255"/>
    </row>
    <row r="11" spans="1:13">
      <c r="A11" s="192">
        <v>1</v>
      </c>
      <c r="B11" s="36"/>
      <c r="C11" s="9" t="s">
        <v>293</v>
      </c>
      <c r="D11" s="9"/>
      <c r="E11" s="18"/>
      <c r="F11" s="19" t="s">
        <v>277</v>
      </c>
      <c r="G11" s="368">
        <f>'Yr 1 Operating Statement of Act'!G11</f>
        <v>1674600</v>
      </c>
      <c r="H11" s="397">
        <f>Assumptions!C17*SUM(Assumptions!D41+Assumptions!D42)*1.02</f>
        <v>2277456</v>
      </c>
      <c r="I11" s="397">
        <f>Assumptions!D17*SUM(Assumptions!D41:D42)*1.02</f>
        <v>2846820</v>
      </c>
      <c r="J11" s="397">
        <f>Assumptions!E17*SUM(Assumptions!D41:D42)*1.02</f>
        <v>3416184</v>
      </c>
      <c r="K11" s="420">
        <f>Assumptions!F17*SUM(Assumptions!D41:D42)*1.02</f>
        <v>3416184</v>
      </c>
      <c r="L11" s="256" t="s">
        <v>546</v>
      </c>
      <c r="M11" s="2">
        <f>'Operating Statement of Act'!G11/Assumptions!B17</f>
        <v>5582</v>
      </c>
    </row>
    <row r="12" spans="1:13">
      <c r="A12" s="192">
        <v>2</v>
      </c>
      <c r="B12" s="36"/>
      <c r="C12" s="9" t="s">
        <v>35</v>
      </c>
      <c r="D12" s="9"/>
      <c r="E12" s="18"/>
      <c r="F12" s="19" t="s">
        <v>216</v>
      </c>
      <c r="G12" s="368">
        <f>'Yr 1 Operating Statement of Act'!G12</f>
        <v>0</v>
      </c>
      <c r="H12" s="397">
        <v>0</v>
      </c>
      <c r="I12" s="397">
        <v>0</v>
      </c>
      <c r="J12" s="397">
        <v>0</v>
      </c>
      <c r="K12" s="420"/>
      <c r="L12" s="256"/>
    </row>
    <row r="13" spans="1:13">
      <c r="A13" s="192">
        <v>3</v>
      </c>
      <c r="B13" s="36"/>
      <c r="C13" s="9" t="s">
        <v>36</v>
      </c>
      <c r="D13" s="9"/>
      <c r="E13" s="18"/>
      <c r="F13" s="19" t="s">
        <v>217</v>
      </c>
      <c r="G13" s="368">
        <f>'Yr 1 Operating Statement of Act'!G13</f>
        <v>300</v>
      </c>
      <c r="H13" s="397">
        <v>400</v>
      </c>
      <c r="I13" s="397">
        <v>500</v>
      </c>
      <c r="J13" s="397">
        <v>600</v>
      </c>
      <c r="K13" s="397">
        <v>600</v>
      </c>
      <c r="L13" s="256" t="s">
        <v>482</v>
      </c>
    </row>
    <row r="14" spans="1:13">
      <c r="A14" s="192">
        <v>4</v>
      </c>
      <c r="B14" s="36"/>
      <c r="C14" s="9" t="s">
        <v>37</v>
      </c>
      <c r="D14" s="9"/>
      <c r="E14" s="18"/>
      <c r="F14" s="19">
        <v>1800</v>
      </c>
      <c r="G14" s="368">
        <f>'Yr 1 Operating Statement of Act'!G14</f>
        <v>0</v>
      </c>
      <c r="H14" s="397">
        <v>0</v>
      </c>
      <c r="I14" s="397">
        <v>0</v>
      </c>
      <c r="J14" s="397">
        <v>0</v>
      </c>
      <c r="K14" s="420"/>
      <c r="L14" s="256"/>
    </row>
    <row r="15" spans="1:13">
      <c r="A15" s="192"/>
      <c r="B15" s="36"/>
      <c r="C15" s="9" t="s">
        <v>38</v>
      </c>
      <c r="D15" s="9"/>
      <c r="E15" s="61"/>
      <c r="F15" s="62"/>
      <c r="G15" s="372"/>
      <c r="H15" s="400"/>
      <c r="I15" s="400"/>
      <c r="J15" s="400"/>
      <c r="K15" s="419"/>
      <c r="L15" s="255"/>
    </row>
    <row r="16" spans="1:13">
      <c r="A16" s="192">
        <v>5</v>
      </c>
      <c r="B16" s="36"/>
      <c r="C16" s="9"/>
      <c r="D16" s="9" t="s">
        <v>39</v>
      </c>
      <c r="E16" s="18"/>
      <c r="F16" s="19" t="s">
        <v>40</v>
      </c>
      <c r="G16" s="368">
        <f>'Yr 1 Operating Statement of Act'!G16</f>
        <v>0</v>
      </c>
      <c r="H16" s="397">
        <f>Assumptions!C17*Assumptions!$D$71</f>
        <v>0</v>
      </c>
      <c r="I16" s="397">
        <f>Assumptions!D17*Assumptions!$D$71</f>
        <v>0</v>
      </c>
      <c r="J16" s="397">
        <f>Assumptions!E17*Assumptions!$D$71</f>
        <v>0</v>
      </c>
      <c r="K16" s="397">
        <f>Assumptions!F17*Assumptions!$D$71</f>
        <v>0</v>
      </c>
      <c r="L16" s="256"/>
    </row>
    <row r="17" spans="1:12">
      <c r="A17" s="192">
        <v>6</v>
      </c>
      <c r="B17" s="36"/>
      <c r="C17" s="9"/>
      <c r="D17" s="9" t="s">
        <v>41</v>
      </c>
      <c r="E17" s="18"/>
      <c r="F17" s="19" t="s">
        <v>42</v>
      </c>
      <c r="G17" s="368">
        <f>'Yr 1 Operating Statement of Act'!G17</f>
        <v>0</v>
      </c>
      <c r="H17" s="397">
        <v>0</v>
      </c>
      <c r="I17" s="397">
        <v>0</v>
      </c>
      <c r="J17" s="397"/>
      <c r="K17" s="420"/>
      <c r="L17" s="256"/>
    </row>
    <row r="18" spans="1:12">
      <c r="A18" s="192">
        <v>7</v>
      </c>
      <c r="B18" s="42"/>
      <c r="C18" s="43"/>
      <c r="D18" s="43" t="s">
        <v>255</v>
      </c>
      <c r="E18" s="22"/>
      <c r="F18" s="23" t="s">
        <v>218</v>
      </c>
      <c r="G18" s="396">
        <f>'Yr 1 Operating Statement of Act'!G18</f>
        <v>13500</v>
      </c>
      <c r="H18" s="368">
        <f>Assumptions!C18*Assumptions!$D$66</f>
        <v>18000</v>
      </c>
      <c r="I18" s="368">
        <f>Assumptions!D18*Assumptions!$D$66</f>
        <v>22500</v>
      </c>
      <c r="J18" s="368">
        <f>Assumptions!E18*Assumptions!$D$66</f>
        <v>27000</v>
      </c>
      <c r="K18" s="368">
        <f>Assumptions!F18*Assumptions!$D$66</f>
        <v>27000</v>
      </c>
      <c r="L18" s="257" t="s">
        <v>423</v>
      </c>
    </row>
    <row r="19" spans="1:12" s="94" customFormat="1" ht="13">
      <c r="A19" s="192">
        <v>8</v>
      </c>
      <c r="B19" s="91"/>
      <c r="C19" s="82" t="s">
        <v>17</v>
      </c>
      <c r="D19" s="82"/>
      <c r="E19" s="92"/>
      <c r="F19" s="93"/>
      <c r="G19" s="368">
        <f>'Yr 1 Operating Statement of Act'!G19</f>
        <v>0</v>
      </c>
      <c r="H19" s="402">
        <v>0</v>
      </c>
      <c r="I19" s="402">
        <v>0</v>
      </c>
      <c r="J19" s="402"/>
      <c r="K19" s="422"/>
      <c r="L19" s="251"/>
    </row>
    <row r="20" spans="1:12">
      <c r="A20" s="192">
        <v>9</v>
      </c>
      <c r="B20" s="42"/>
      <c r="C20" s="43"/>
      <c r="D20" s="43"/>
      <c r="E20" s="22"/>
      <c r="F20" s="23"/>
      <c r="G20" s="368">
        <f>'Yr 1 Operating Statement of Act'!G20</f>
        <v>0</v>
      </c>
      <c r="H20" s="401">
        <v>0</v>
      </c>
      <c r="I20" s="401">
        <v>0</v>
      </c>
      <c r="J20" s="401"/>
      <c r="K20" s="421"/>
      <c r="L20" s="257"/>
    </row>
    <row r="21" spans="1:12">
      <c r="A21" s="197">
        <v>10</v>
      </c>
      <c r="B21" s="47" t="s">
        <v>269</v>
      </c>
      <c r="C21" s="6"/>
      <c r="D21" s="48"/>
      <c r="E21" s="49"/>
      <c r="F21" s="50"/>
      <c r="G21" s="375">
        <f>SUM(G11:G20)</f>
        <v>1688400</v>
      </c>
      <c r="H21" s="375">
        <f>SUM(H11:H20)</f>
        <v>2295856</v>
      </c>
      <c r="I21" s="375">
        <f>SUM(I11:I20)</f>
        <v>2869820</v>
      </c>
      <c r="J21" s="375">
        <f>SUM(J11:J20)</f>
        <v>3443784</v>
      </c>
      <c r="K21" s="423">
        <f>SUM(K11:K20)</f>
        <v>3443784</v>
      </c>
      <c r="L21" s="258"/>
    </row>
    <row r="22" spans="1:12">
      <c r="A22" s="200"/>
      <c r="B22" s="35"/>
      <c r="C22" s="12"/>
      <c r="D22" s="12"/>
      <c r="E22" s="71"/>
      <c r="F22" s="72"/>
      <c r="G22" s="371"/>
      <c r="H22" s="399"/>
      <c r="I22" s="399"/>
      <c r="J22" s="399"/>
      <c r="K22" s="418"/>
      <c r="L22" s="254"/>
    </row>
    <row r="23" spans="1:12">
      <c r="A23" s="193"/>
      <c r="B23" s="25" t="s">
        <v>43</v>
      </c>
      <c r="C23" s="11"/>
      <c r="D23" s="11"/>
      <c r="E23" s="61"/>
      <c r="F23" s="62"/>
      <c r="G23" s="372"/>
      <c r="H23" s="400"/>
      <c r="I23" s="400"/>
      <c r="J23" s="400"/>
      <c r="K23" s="419"/>
      <c r="L23" s="255"/>
    </row>
    <row r="24" spans="1:12">
      <c r="A24" s="192"/>
      <c r="B24" s="36"/>
      <c r="C24" s="9" t="s">
        <v>44</v>
      </c>
      <c r="D24" s="9"/>
      <c r="E24" s="61"/>
      <c r="F24" s="62"/>
      <c r="G24" s="372"/>
      <c r="H24" s="400"/>
      <c r="I24" s="400"/>
      <c r="J24" s="400"/>
      <c r="K24" s="419"/>
      <c r="L24" s="255"/>
    </row>
    <row r="25" spans="1:12">
      <c r="A25" s="192">
        <v>11</v>
      </c>
      <c r="B25" s="36"/>
      <c r="C25" s="9"/>
      <c r="D25" s="9" t="s">
        <v>294</v>
      </c>
      <c r="E25" s="18"/>
      <c r="F25" s="19" t="s">
        <v>20</v>
      </c>
      <c r="G25" s="368">
        <f>'Yr 1 Operating Statement of Act'!G25</f>
        <v>772209.96168582374</v>
      </c>
      <c r="H25" s="397">
        <f>Assumptions!C17*SUM(Assumptions!D44:D45)</f>
        <v>1029613.282247765</v>
      </c>
      <c r="I25" s="397">
        <f>Assumptions!D17*SUM(Assumptions!D44:D45)</f>
        <v>1287016.6028097062</v>
      </c>
      <c r="J25" s="397">
        <f>Assumptions!E17*SUM(Assumptions!D44:D45)</f>
        <v>1544419.9233716475</v>
      </c>
      <c r="K25" s="420">
        <f>Assumptions!F17*SUM(Assumptions!D44:D45)</f>
        <v>1544419.9233716475</v>
      </c>
      <c r="L25" s="256" t="s">
        <v>499</v>
      </c>
    </row>
    <row r="26" spans="1:12">
      <c r="A26" s="192">
        <v>12</v>
      </c>
      <c r="B26" s="36"/>
      <c r="C26" s="9"/>
      <c r="D26" s="9" t="s">
        <v>45</v>
      </c>
      <c r="E26" s="18"/>
      <c r="F26" s="19" t="s">
        <v>46</v>
      </c>
      <c r="G26" s="368">
        <f>'Yr 1 Operating Statement of Act'!G26</f>
        <v>503874.45</v>
      </c>
      <c r="H26" s="397">
        <f>(Assumptions!C21*Assumptions!D49)+(Assumptions!C22*Assumptions!D50)+(Assumptions!C23*Assumptions!D51)+(Assumptions!C24*Assumptions!D52)+(Assumptions!C25*Assumptions!D53)+(Assumptions!C29*Assumptions!D54)+(Assumptions!C30*Assumptions!D55)+(Assumptions!C31*Assumptions!D56)+SUM(Assumptions!C13:C16)*Assumptions!D57</f>
        <v>663922.01</v>
      </c>
      <c r="I26" s="397">
        <f>(Assumptions!D21*Assumptions!D49)+(Assumptions!D22*Assumptions!D50)+(Assumptions!D23*Assumptions!D51)+(Assumptions!D24*Assumptions!D52)+(Assumptions!D25*Assumptions!D53)+(Assumptions!D29*Assumptions!D54)+(Assumptions!D30*Assumptions!D55)+(Assumptions!D31*Assumptions!D56)+SUM(Assumptions!D13:D14)*Assumptions!D57</f>
        <v>796875.66</v>
      </c>
      <c r="J26" s="397">
        <f>(Assumptions!E21*Assumptions!D49)+(Assumptions!E22*Assumptions!D50)+(Assumptions!E23*Assumptions!D51)+(Assumptions!E24*Assumptions!D52)+(Assumptions!E25*Assumptions!D53)+(Assumptions!E29*Assumptions!D54)+(Assumptions!E30*Assumptions!D55)+(Assumptions!E31*Assumptions!D56)+SUM(Assumptions!E13:E16)*Assumptions!D57</f>
        <v>1023975.88</v>
      </c>
      <c r="K26" s="420">
        <f>(Assumptions!F21*Assumptions!D49)+(Assumptions!F22*Assumptions!D50)+(Assumptions!F23*Assumptions!D51)+(Assumptions!F24*Assumptions!D52)+(Assumptions!F25*Assumptions!D53)+(Assumptions!F29*Assumptions!D54)+(Assumptions!F30*Assumptions!D55)+(Assumptions!F31*Assumptions!D56)+SUM(Assumptions!F13:F16)*Assumptions!D57</f>
        <v>1023975.88</v>
      </c>
      <c r="L26" s="256" t="s">
        <v>400</v>
      </c>
    </row>
    <row r="27" spans="1:12">
      <c r="A27" s="192"/>
      <c r="B27" s="36"/>
      <c r="C27" s="9" t="s">
        <v>47</v>
      </c>
      <c r="D27" s="9"/>
      <c r="E27" s="61"/>
      <c r="F27" s="62"/>
      <c r="G27" s="372"/>
      <c r="H27" s="400"/>
      <c r="I27" s="400"/>
      <c r="J27" s="400"/>
      <c r="K27" s="419"/>
      <c r="L27" s="255"/>
    </row>
    <row r="28" spans="1:12">
      <c r="A28" s="192">
        <v>13</v>
      </c>
      <c r="B28" s="36"/>
      <c r="C28" s="9"/>
      <c r="D28" s="9" t="s">
        <v>48</v>
      </c>
      <c r="E28" s="18"/>
      <c r="F28" s="19" t="s">
        <v>49</v>
      </c>
      <c r="G28" s="368">
        <f>'Yr 1 Operating Statement of Act'!G28</f>
        <v>4500</v>
      </c>
      <c r="H28" s="397">
        <f>Assumptions!C17*Assumptions!$D$79</f>
        <v>6000</v>
      </c>
      <c r="I28" s="397">
        <f>Assumptions!D17*Assumptions!$D$79</f>
        <v>7500</v>
      </c>
      <c r="J28" s="397">
        <f>Assumptions!E17*Assumptions!$D$79</f>
        <v>9000</v>
      </c>
      <c r="K28" s="397">
        <f>Assumptions!F17*Assumptions!$D$79</f>
        <v>9000</v>
      </c>
      <c r="L28" s="256"/>
    </row>
    <row r="29" spans="1:12">
      <c r="A29" s="192">
        <v>14</v>
      </c>
      <c r="B29" s="36"/>
      <c r="C29" s="9"/>
      <c r="D29" s="9" t="s">
        <v>50</v>
      </c>
      <c r="E29" s="18"/>
      <c r="F29" s="19" t="s">
        <v>51</v>
      </c>
      <c r="G29" s="368">
        <f>'Yr 1 Operating Statement of Act'!G29</f>
        <v>0</v>
      </c>
      <c r="H29" s="397">
        <v>0</v>
      </c>
      <c r="I29" s="397"/>
      <c r="J29" s="397"/>
      <c r="K29" s="420"/>
      <c r="L29" s="256"/>
    </row>
    <row r="30" spans="1:12">
      <c r="A30" s="192">
        <v>15</v>
      </c>
      <c r="B30" s="42"/>
      <c r="C30" s="43"/>
      <c r="D30" s="43" t="s">
        <v>52</v>
      </c>
      <c r="E30" s="22"/>
      <c r="F30" s="23" t="s">
        <v>53</v>
      </c>
      <c r="G30" s="368">
        <f>'Yr 1 Operating Statement of Act'!G30</f>
        <v>3900</v>
      </c>
      <c r="H30" s="401">
        <f>Assumptions!C17*Assumptions!$D$80</f>
        <v>5200</v>
      </c>
      <c r="I30" s="401">
        <f>Assumptions!D17*Assumptions!$D$80</f>
        <v>6500</v>
      </c>
      <c r="J30" s="401">
        <f>Assumptions!E17*Assumptions!$D$80</f>
        <v>7800</v>
      </c>
      <c r="K30" s="401">
        <f>Assumptions!F17*Assumptions!$D$80</f>
        <v>7800</v>
      </c>
      <c r="L30" s="257" t="s">
        <v>514</v>
      </c>
    </row>
    <row r="31" spans="1:12" s="94" customFormat="1" ht="13">
      <c r="A31" s="192">
        <v>16</v>
      </c>
      <c r="B31" s="91"/>
      <c r="C31" s="82" t="s">
        <v>17</v>
      </c>
      <c r="D31" s="82"/>
      <c r="E31" s="92"/>
      <c r="F31" s="93"/>
      <c r="G31" s="374"/>
      <c r="H31" s="402"/>
      <c r="I31" s="402"/>
      <c r="J31" s="402"/>
      <c r="K31" s="422"/>
      <c r="L31" s="251"/>
    </row>
    <row r="32" spans="1:12">
      <c r="A32" s="192">
        <v>17</v>
      </c>
      <c r="B32" s="42"/>
      <c r="C32" s="43"/>
      <c r="D32" s="43"/>
      <c r="E32" s="22"/>
      <c r="F32" s="23"/>
      <c r="G32" s="373"/>
      <c r="H32" s="401"/>
      <c r="I32" s="401"/>
      <c r="J32" s="401"/>
      <c r="K32" s="421"/>
      <c r="L32" s="257"/>
    </row>
    <row r="33" spans="1:12" ht="15" thickBot="1">
      <c r="A33" s="197">
        <v>18</v>
      </c>
      <c r="B33" s="47" t="s">
        <v>270</v>
      </c>
      <c r="C33" s="6"/>
      <c r="D33" s="6"/>
      <c r="E33" s="49"/>
      <c r="F33" s="50"/>
      <c r="G33" s="375">
        <f>SUM(G25:G32)</f>
        <v>1284484.4116858237</v>
      </c>
      <c r="H33" s="375">
        <f>SUM(H25:H32)</f>
        <v>1704735.292247765</v>
      </c>
      <c r="I33" s="375">
        <f>SUM(I25:I32)</f>
        <v>2097892.2628097064</v>
      </c>
      <c r="J33" s="375">
        <f>SUM(J25:J32)</f>
        <v>2585195.8033716474</v>
      </c>
      <c r="K33" s="423">
        <f>SUM(K25:K32)</f>
        <v>2585195.8033716474</v>
      </c>
      <c r="L33" s="259"/>
    </row>
    <row r="34" spans="1:12" s="101" customFormat="1" ht="15" thickTop="1">
      <c r="A34" s="215"/>
      <c r="E34" s="102"/>
      <c r="F34" s="102"/>
      <c r="G34" s="376"/>
      <c r="H34" s="376"/>
      <c r="I34" s="376"/>
      <c r="J34" s="376"/>
      <c r="K34" s="376"/>
      <c r="L34" s="260"/>
    </row>
    <row r="35" spans="1:12" s="101" customFormat="1">
      <c r="A35" s="100"/>
      <c r="E35" s="102"/>
      <c r="F35" s="102"/>
      <c r="G35" s="376"/>
      <c r="H35" s="376"/>
      <c r="I35" s="376"/>
      <c r="J35" s="376"/>
      <c r="K35" s="376"/>
      <c r="L35" s="260"/>
    </row>
    <row r="36" spans="1:12" s="101" customFormat="1">
      <c r="A36" s="100"/>
      <c r="E36" s="102"/>
      <c r="F36" s="102"/>
      <c r="G36" s="376"/>
      <c r="H36" s="376"/>
      <c r="I36" s="376"/>
      <c r="J36" s="376"/>
      <c r="K36" s="376"/>
      <c r="L36" s="260"/>
    </row>
    <row r="37" spans="1:12" s="101" customFormat="1">
      <c r="A37" s="100"/>
      <c r="E37" s="102"/>
      <c r="F37" s="102"/>
      <c r="G37" s="376"/>
      <c r="H37" s="376"/>
      <c r="I37" s="376"/>
      <c r="J37" s="376"/>
      <c r="K37" s="376"/>
      <c r="L37" s="260"/>
    </row>
    <row r="38" spans="1:12" s="101" customFormat="1" ht="42" customHeight="1">
      <c r="A38" s="493" t="s">
        <v>10</v>
      </c>
      <c r="B38" s="510"/>
      <c r="C38" s="510"/>
      <c r="D38" s="510"/>
      <c r="E38" s="510"/>
      <c r="F38" s="510"/>
      <c r="G38" s="510"/>
      <c r="H38" s="510"/>
      <c r="I38" s="510"/>
      <c r="J38" s="510"/>
      <c r="K38" s="510"/>
    </row>
    <row r="39" spans="1:12" s="101" customFormat="1">
      <c r="A39" s="100"/>
      <c r="E39" s="102"/>
      <c r="F39" s="102"/>
      <c r="G39" s="376"/>
      <c r="H39" s="376"/>
      <c r="I39" s="376"/>
      <c r="J39" s="376"/>
      <c r="K39" s="376"/>
      <c r="L39" s="260"/>
    </row>
    <row r="40" spans="1:12" s="101" customFormat="1" ht="15" thickBot="1">
      <c r="A40" s="100"/>
      <c r="E40" s="102"/>
      <c r="F40" s="102"/>
      <c r="G40" s="376"/>
      <c r="H40" s="376"/>
      <c r="I40" s="376"/>
      <c r="J40" s="376"/>
      <c r="K40" s="376"/>
      <c r="L40" s="260"/>
    </row>
    <row r="41" spans="1:12" ht="15" thickTop="1">
      <c r="A41" s="33"/>
      <c r="B41" s="26" t="s">
        <v>54</v>
      </c>
      <c r="C41" s="24"/>
      <c r="D41" s="24"/>
      <c r="E41" s="71"/>
      <c r="F41" s="72"/>
      <c r="G41" s="371"/>
      <c r="H41" s="399"/>
      <c r="I41" s="399"/>
      <c r="J41" s="399"/>
      <c r="K41" s="424"/>
      <c r="L41" s="276"/>
    </row>
    <row r="42" spans="1:12">
      <c r="A42" s="31"/>
      <c r="B42" s="36"/>
      <c r="C42" s="9" t="s">
        <v>256</v>
      </c>
      <c r="D42" s="9"/>
      <c r="E42" s="61"/>
      <c r="F42" s="62"/>
      <c r="G42" s="372"/>
      <c r="H42" s="400"/>
      <c r="I42" s="400"/>
      <c r="J42" s="400"/>
      <c r="K42" s="425"/>
      <c r="L42" s="246"/>
    </row>
    <row r="43" spans="1:12">
      <c r="A43" s="192">
        <v>19</v>
      </c>
      <c r="B43" s="36"/>
      <c r="C43" s="9"/>
      <c r="D43" s="9" t="s">
        <v>55</v>
      </c>
      <c r="E43" s="18"/>
      <c r="F43" s="19" t="s">
        <v>56</v>
      </c>
      <c r="G43" s="368">
        <f>'Yr 1 Operating Statement of Act'!G43</f>
        <v>0</v>
      </c>
      <c r="H43" s="397"/>
      <c r="I43" s="397"/>
      <c r="J43" s="397"/>
      <c r="K43" s="366"/>
      <c r="L43" s="247"/>
    </row>
    <row r="44" spans="1:12">
      <c r="A44" s="192"/>
      <c r="B44" s="36"/>
      <c r="C44" s="9" t="s">
        <v>257</v>
      </c>
      <c r="D44" s="9"/>
      <c r="E44" s="61"/>
      <c r="F44" s="62"/>
      <c r="G44" s="372"/>
      <c r="H44" s="400"/>
      <c r="I44" s="400"/>
      <c r="J44" s="400"/>
      <c r="K44" s="425"/>
      <c r="L44" s="246"/>
    </row>
    <row r="45" spans="1:12">
      <c r="A45" s="192">
        <v>20</v>
      </c>
      <c r="B45" s="36"/>
      <c r="C45" s="9"/>
      <c r="D45" s="9" t="s">
        <v>57</v>
      </c>
      <c r="E45" s="18"/>
      <c r="F45" s="19" t="s">
        <v>58</v>
      </c>
      <c r="G45" s="368">
        <f>'Yr 1 Operating Statement of Act'!G45</f>
        <v>0</v>
      </c>
      <c r="H45" s="397"/>
      <c r="I45" s="397"/>
      <c r="J45" s="397"/>
      <c r="K45" s="366"/>
      <c r="L45" s="247"/>
    </row>
    <row r="46" spans="1:12">
      <c r="A46" s="192"/>
      <c r="B46" s="36"/>
      <c r="C46" s="9" t="s">
        <v>21</v>
      </c>
      <c r="D46" s="9"/>
      <c r="E46" s="61"/>
      <c r="F46" s="62"/>
      <c r="G46" s="372"/>
      <c r="H46" s="400"/>
      <c r="I46" s="400"/>
      <c r="J46" s="400"/>
      <c r="K46" s="425"/>
      <c r="L46" s="246"/>
    </row>
    <row r="47" spans="1:12">
      <c r="A47" s="192">
        <v>21</v>
      </c>
      <c r="B47" s="36"/>
      <c r="C47" s="9"/>
      <c r="D47" s="9" t="s">
        <v>59</v>
      </c>
      <c r="E47" s="18"/>
      <c r="F47" s="19" t="s">
        <v>60</v>
      </c>
      <c r="G47" s="368">
        <f>'Yr 1 Operating Statement of Act'!G47</f>
        <v>285000</v>
      </c>
      <c r="H47" s="397">
        <f>Assumptions!C18*Assumptions!D64</f>
        <v>380000</v>
      </c>
      <c r="I47" s="397">
        <f>Assumptions!D18*Assumptions!D64</f>
        <v>475000</v>
      </c>
      <c r="J47" s="397">
        <f>Assumptions!E18*Assumptions!D64</f>
        <v>570000</v>
      </c>
      <c r="K47" s="366">
        <f>Assumptions!F18*Assumptions!D64</f>
        <v>570000</v>
      </c>
      <c r="L47" s="247" t="s">
        <v>544</v>
      </c>
    </row>
    <row r="48" spans="1:12">
      <c r="A48" s="192"/>
      <c r="B48" s="36"/>
      <c r="C48" s="9"/>
      <c r="D48" s="9" t="s">
        <v>61</v>
      </c>
      <c r="E48" s="61"/>
      <c r="F48" s="62"/>
      <c r="G48" s="372"/>
      <c r="H48" s="400"/>
      <c r="I48" s="400"/>
      <c r="J48" s="400"/>
      <c r="K48" s="425"/>
      <c r="L48" s="246"/>
    </row>
    <row r="49" spans="1:12">
      <c r="A49" s="192">
        <v>22</v>
      </c>
      <c r="B49" s="36"/>
      <c r="C49" s="9"/>
      <c r="D49" s="9" t="s">
        <v>258</v>
      </c>
      <c r="E49" s="18"/>
      <c r="F49" s="19" t="s">
        <v>62</v>
      </c>
      <c r="G49" s="368">
        <f>'Yr 1 Operating Statement of Act'!G49</f>
        <v>60067.045454545456</v>
      </c>
      <c r="H49" s="397">
        <f>Assumptions!C17*Assumptions!D61</f>
        <v>80089.393939393936</v>
      </c>
      <c r="I49" s="397">
        <f>Assumptions!D17*Assumptions!D61</f>
        <v>100111.74242424242</v>
      </c>
      <c r="J49" s="397">
        <f>Assumptions!E17*Assumptions!D61</f>
        <v>120134.09090909091</v>
      </c>
      <c r="K49" s="366">
        <f>Assumptions!F17*Assumptions!D61</f>
        <v>120134.09090909091</v>
      </c>
      <c r="L49" s="247" t="s">
        <v>487</v>
      </c>
    </row>
    <row r="50" spans="1:12">
      <c r="A50" s="192">
        <v>23</v>
      </c>
      <c r="B50" s="36"/>
      <c r="C50" s="9"/>
      <c r="D50" s="9" t="s">
        <v>259</v>
      </c>
      <c r="E50" s="18"/>
      <c r="F50" s="19" t="s">
        <v>63</v>
      </c>
      <c r="G50" s="368">
        <f>'Yr 1 Operating Statement of Act'!G50</f>
        <v>0</v>
      </c>
      <c r="H50" s="397">
        <v>0</v>
      </c>
      <c r="I50" s="397">
        <v>0</v>
      </c>
      <c r="J50" s="397">
        <v>0</v>
      </c>
      <c r="K50" s="366">
        <v>0</v>
      </c>
      <c r="L50" s="247"/>
    </row>
    <row r="51" spans="1:12">
      <c r="A51" s="192">
        <v>24</v>
      </c>
      <c r="B51" s="36"/>
      <c r="C51" s="9"/>
      <c r="D51" s="9" t="s">
        <v>260</v>
      </c>
      <c r="E51" s="18"/>
      <c r="F51" s="19" t="s">
        <v>64</v>
      </c>
      <c r="G51" s="368">
        <f>Assumptions!$D$65*Assumptions!B18</f>
        <v>4500</v>
      </c>
      <c r="H51" s="368">
        <f>Assumptions!$D$65*Assumptions!C18</f>
        <v>6000</v>
      </c>
      <c r="I51" s="368">
        <f>Assumptions!$D$65*Assumptions!D18</f>
        <v>7500</v>
      </c>
      <c r="J51" s="368">
        <f>Assumptions!$D$65*Assumptions!E18</f>
        <v>9000</v>
      </c>
      <c r="K51" s="368">
        <f>Assumptions!$D$65*Assumptions!F18</f>
        <v>9000</v>
      </c>
      <c r="L51" s="247" t="s">
        <v>498</v>
      </c>
    </row>
    <row r="52" spans="1:12">
      <c r="A52" s="192"/>
      <c r="B52" s="36"/>
      <c r="C52" s="9"/>
      <c r="D52" s="9" t="s">
        <v>278</v>
      </c>
      <c r="E52" s="61"/>
      <c r="F52" s="62"/>
      <c r="G52" s="372"/>
      <c r="H52" s="400"/>
      <c r="I52" s="400"/>
      <c r="J52" s="400"/>
      <c r="K52" s="425"/>
      <c r="L52" s="246"/>
    </row>
    <row r="53" spans="1:12">
      <c r="A53" s="192">
        <v>25</v>
      </c>
      <c r="B53" s="36"/>
      <c r="C53" s="9"/>
      <c r="D53" s="9" t="s">
        <v>261</v>
      </c>
      <c r="E53" s="18"/>
      <c r="F53" s="19" t="s">
        <v>65</v>
      </c>
      <c r="G53" s="368">
        <f>'Yr 1 Operating Statement of Act'!G53</f>
        <v>213223.48484848486</v>
      </c>
      <c r="H53" s="397">
        <f>Assumptions!C17*Assumptions!D59</f>
        <v>284297.97979797982</v>
      </c>
      <c r="I53" s="397">
        <f>Assumptions!D17*Assumptions!D59</f>
        <v>355372.47474747477</v>
      </c>
      <c r="J53" s="397">
        <f>Assumptions!E17*Assumptions!D59</f>
        <v>426446.96969696973</v>
      </c>
      <c r="K53" s="366">
        <f>Assumptions!F17*Assumptions!D59</f>
        <v>426446.96969696973</v>
      </c>
      <c r="L53" s="247" t="s">
        <v>488</v>
      </c>
    </row>
    <row r="54" spans="1:12">
      <c r="A54" s="192">
        <v>26</v>
      </c>
      <c r="B54" s="36"/>
      <c r="C54" s="9"/>
      <c r="D54" s="9" t="s">
        <v>262</v>
      </c>
      <c r="E54" s="18"/>
      <c r="F54" s="19" t="s">
        <v>66</v>
      </c>
      <c r="G54" s="368">
        <f>'Yr 1 Operating Statement of Act'!G54</f>
        <v>0</v>
      </c>
      <c r="H54" s="397">
        <v>0</v>
      </c>
      <c r="I54" s="397">
        <v>0</v>
      </c>
      <c r="J54" s="397">
        <v>0</v>
      </c>
      <c r="K54" s="366">
        <v>0</v>
      </c>
      <c r="L54" s="247"/>
    </row>
    <row r="55" spans="1:12">
      <c r="A55" s="192">
        <v>27</v>
      </c>
      <c r="B55" s="36"/>
      <c r="C55" s="9"/>
      <c r="D55" s="9" t="s">
        <v>279</v>
      </c>
      <c r="E55" s="18"/>
      <c r="F55" s="19" t="s">
        <v>67</v>
      </c>
      <c r="G55" s="368">
        <f>'Yr 1 Operating Statement of Act'!G55</f>
        <v>0</v>
      </c>
      <c r="H55" s="397">
        <v>0</v>
      </c>
      <c r="I55" s="397">
        <v>0</v>
      </c>
      <c r="J55" s="397">
        <v>0</v>
      </c>
      <c r="K55" s="366">
        <v>0</v>
      </c>
      <c r="L55" s="247"/>
    </row>
    <row r="56" spans="1:12">
      <c r="A56" s="192">
        <v>28</v>
      </c>
      <c r="B56" s="36"/>
      <c r="C56" s="9"/>
      <c r="D56" s="9" t="s">
        <v>263</v>
      </c>
      <c r="E56" s="18"/>
      <c r="F56" s="19" t="s">
        <v>68</v>
      </c>
      <c r="G56" s="368">
        <f>'Yr 1 Operating Statement of Act'!G56</f>
        <v>2660</v>
      </c>
      <c r="H56" s="368">
        <f>G56</f>
        <v>2660</v>
      </c>
      <c r="I56" s="368">
        <f>H56</f>
        <v>2660</v>
      </c>
      <c r="J56" s="368">
        <f>I56</f>
        <v>2660</v>
      </c>
      <c r="K56" s="368">
        <f>J56</f>
        <v>2660</v>
      </c>
      <c r="L56" s="247"/>
    </row>
    <row r="57" spans="1:12">
      <c r="A57" s="192">
        <v>29</v>
      </c>
      <c r="B57" s="36"/>
      <c r="C57" s="9"/>
      <c r="D57" s="9" t="s">
        <v>280</v>
      </c>
      <c r="E57" s="18"/>
      <c r="F57" s="19" t="s">
        <v>69</v>
      </c>
      <c r="G57" s="368">
        <f>'Yr 1 Operating Statement of Act'!G57</f>
        <v>10006.439393939394</v>
      </c>
      <c r="H57" s="397">
        <f>Assumptions!C17*Assumptions!D60</f>
        <v>13341.919191919191</v>
      </c>
      <c r="I57" s="397">
        <f>Assumptions!D17*Assumptions!D60</f>
        <v>16677.398989898989</v>
      </c>
      <c r="J57" s="397">
        <f>Assumptions!E17*Assumptions!D60</f>
        <v>20012.878787878788</v>
      </c>
      <c r="K57" s="366">
        <f>Assumptions!F17*Assumptions!D60</f>
        <v>20012.878787878788</v>
      </c>
      <c r="L57" s="247" t="s">
        <v>489</v>
      </c>
    </row>
    <row r="58" spans="1:12">
      <c r="A58" s="192">
        <v>30</v>
      </c>
      <c r="B58" s="36"/>
      <c r="C58" s="9"/>
      <c r="D58" s="9" t="s">
        <v>264</v>
      </c>
      <c r="E58" s="18"/>
      <c r="F58" s="19" t="s">
        <v>70</v>
      </c>
      <c r="G58" s="368">
        <f>'Yr 1 Operating Statement of Act'!G58</f>
        <v>10000</v>
      </c>
      <c r="H58" s="397">
        <f>G58</f>
        <v>10000</v>
      </c>
      <c r="I58" s="397">
        <f t="shared" ref="I58:K58" si="0">H58</f>
        <v>10000</v>
      </c>
      <c r="J58" s="397">
        <f t="shared" si="0"/>
        <v>10000</v>
      </c>
      <c r="K58" s="397">
        <f t="shared" si="0"/>
        <v>10000</v>
      </c>
      <c r="L58" s="247" t="s">
        <v>438</v>
      </c>
    </row>
    <row r="59" spans="1:12">
      <c r="A59" s="192">
        <v>31</v>
      </c>
      <c r="B59" s="36"/>
      <c r="C59" s="9"/>
      <c r="D59" s="9" t="s">
        <v>71</v>
      </c>
      <c r="E59" s="18"/>
      <c r="F59" s="19" t="s">
        <v>72</v>
      </c>
      <c r="G59" s="368">
        <f>'Yr 1 Operating Statement of Act'!G59</f>
        <v>75000</v>
      </c>
      <c r="H59" s="397"/>
      <c r="I59" s="397"/>
      <c r="J59" s="397"/>
      <c r="K59" s="366"/>
      <c r="L59" s="247" t="s">
        <v>542</v>
      </c>
    </row>
    <row r="60" spans="1:12">
      <c r="A60" s="192"/>
      <c r="B60" s="36"/>
      <c r="C60" s="9" t="s">
        <v>73</v>
      </c>
      <c r="D60" s="9"/>
      <c r="E60" s="73"/>
      <c r="F60" s="74"/>
      <c r="G60" s="372"/>
      <c r="H60" s="400"/>
      <c r="I60" s="400"/>
      <c r="J60" s="400"/>
      <c r="K60" s="425"/>
      <c r="L60" s="277"/>
    </row>
    <row r="61" spans="1:12">
      <c r="A61" s="192">
        <v>32</v>
      </c>
      <c r="B61" s="36"/>
      <c r="C61" s="9"/>
      <c r="D61" s="9" t="s">
        <v>74</v>
      </c>
      <c r="E61" s="18"/>
      <c r="F61" s="19" t="s">
        <v>75</v>
      </c>
      <c r="G61" s="368">
        <f>'Yr 1 Operating Statement of Act'!G61</f>
        <v>19182</v>
      </c>
      <c r="H61" s="397">
        <f>($G$61/660)*Assumptions!C17</f>
        <v>11625.454545454544</v>
      </c>
      <c r="I61" s="397">
        <f>($G$61/660)*Assumptions!D17</f>
        <v>14531.818181818182</v>
      </c>
      <c r="J61" s="397">
        <f>($G$61/660)*Assumptions!E17</f>
        <v>17438.181818181816</v>
      </c>
      <c r="K61" s="397">
        <f>($G$61/660)*Assumptions!F17</f>
        <v>17438.181818181816</v>
      </c>
      <c r="L61" s="247" t="s">
        <v>443</v>
      </c>
    </row>
    <row r="62" spans="1:12" s="94" customFormat="1" ht="14.25" customHeight="1">
      <c r="A62" s="192">
        <v>33</v>
      </c>
      <c r="B62" s="91"/>
      <c r="C62" s="82"/>
      <c r="D62" s="43" t="s">
        <v>547</v>
      </c>
      <c r="E62" s="92"/>
      <c r="F62" s="455">
        <v>4590</v>
      </c>
      <c r="G62" s="374">
        <v>20000</v>
      </c>
      <c r="H62" s="402">
        <v>40000</v>
      </c>
      <c r="I62" s="402">
        <f>H62</f>
        <v>40000</v>
      </c>
      <c r="J62" s="402">
        <f t="shared" ref="J62:K62" si="1">I62</f>
        <v>40000</v>
      </c>
      <c r="K62" s="402">
        <f t="shared" si="1"/>
        <v>40000</v>
      </c>
      <c r="L62" s="249"/>
    </row>
    <row r="63" spans="1:12" s="94" customFormat="1" ht="14.25" customHeight="1">
      <c r="A63" s="192">
        <v>34</v>
      </c>
      <c r="B63" s="91"/>
      <c r="C63" s="82"/>
      <c r="D63" s="82"/>
      <c r="E63" s="92"/>
      <c r="F63" s="93"/>
      <c r="G63" s="374"/>
      <c r="H63" s="402"/>
      <c r="I63" s="402"/>
      <c r="J63" s="402"/>
      <c r="K63" s="426"/>
      <c r="L63" s="249"/>
    </row>
    <row r="64" spans="1:12">
      <c r="A64" s="192">
        <v>35</v>
      </c>
      <c r="B64" s="42"/>
      <c r="C64" s="43"/>
      <c r="D64" s="43"/>
      <c r="E64" s="22"/>
      <c r="F64" s="23"/>
      <c r="G64" s="373"/>
      <c r="H64" s="401"/>
      <c r="I64" s="401"/>
      <c r="J64" s="401"/>
      <c r="K64" s="427"/>
      <c r="L64" s="248"/>
    </row>
    <row r="65" spans="1:12">
      <c r="A65" s="197">
        <v>36</v>
      </c>
      <c r="B65" s="47" t="s">
        <v>268</v>
      </c>
      <c r="C65" s="6"/>
      <c r="D65" s="6"/>
      <c r="E65" s="49"/>
      <c r="F65" s="50"/>
      <c r="G65" s="375">
        <f>SUM(G43:G64)</f>
        <v>699638.96969696973</v>
      </c>
      <c r="H65" s="375">
        <f>SUM(H43:H64)</f>
        <v>828014.74747474748</v>
      </c>
      <c r="I65" s="375">
        <f>SUM(I43:I64)</f>
        <v>1021853.4343434344</v>
      </c>
      <c r="J65" s="375">
        <f>SUM(J43:J64)</f>
        <v>1215692.1212121213</v>
      </c>
      <c r="K65" s="428">
        <f>SUM(K43:K64)</f>
        <v>1215692.1212121213</v>
      </c>
      <c r="L65" s="250"/>
    </row>
    <row r="66" spans="1:12">
      <c r="A66" s="192"/>
      <c r="B66" s="36"/>
      <c r="C66" s="9"/>
      <c r="D66" s="9"/>
      <c r="E66" s="61"/>
      <c r="F66" s="62"/>
      <c r="G66" s="372"/>
      <c r="H66" s="400"/>
      <c r="I66" s="400"/>
      <c r="J66" s="400"/>
      <c r="K66" s="425"/>
      <c r="L66" s="246"/>
    </row>
    <row r="67" spans="1:12" s="13" customFormat="1">
      <c r="A67" s="199"/>
      <c r="B67" s="25" t="s">
        <v>284</v>
      </c>
      <c r="C67" s="11"/>
      <c r="D67" s="11"/>
      <c r="E67" s="61"/>
      <c r="F67" s="62"/>
      <c r="G67" s="372"/>
      <c r="H67" s="400"/>
      <c r="I67" s="400"/>
      <c r="J67" s="400"/>
      <c r="K67" s="425"/>
      <c r="L67" s="246"/>
    </row>
    <row r="68" spans="1:12" s="99" customFormat="1">
      <c r="A68" s="200">
        <v>37</v>
      </c>
      <c r="B68" s="95"/>
      <c r="C68" s="96"/>
      <c r="D68" s="96"/>
      <c r="E68" s="97"/>
      <c r="F68" s="98" t="s">
        <v>252</v>
      </c>
      <c r="G68" s="368">
        <f>'Yr 1 Operating Statement of Act'!G68</f>
        <v>0</v>
      </c>
      <c r="H68" s="403"/>
      <c r="I68" s="403"/>
      <c r="J68" s="403"/>
      <c r="K68" s="429"/>
      <c r="L68" s="270"/>
    </row>
    <row r="69" spans="1:12" ht="15" thickBot="1">
      <c r="A69" s="194">
        <v>38</v>
      </c>
      <c r="B69" s="42"/>
      <c r="C69" s="43"/>
      <c r="D69" s="43"/>
      <c r="E69" s="133"/>
      <c r="F69" s="134"/>
      <c r="G69" s="377"/>
      <c r="H69" s="404"/>
      <c r="I69" s="404"/>
      <c r="J69" s="404"/>
      <c r="K69" s="430"/>
      <c r="L69" s="278"/>
    </row>
    <row r="70" spans="1:12" ht="15" thickBot="1">
      <c r="A70" s="201">
        <v>39</v>
      </c>
      <c r="B70" s="44" t="s">
        <v>271</v>
      </c>
      <c r="C70" s="7"/>
      <c r="D70" s="7"/>
      <c r="E70" s="45"/>
      <c r="F70" s="46"/>
      <c r="G70" s="378">
        <f>G21+G33+G65+G68+G69</f>
        <v>3672523.3813827932</v>
      </c>
      <c r="H70" s="378">
        <f>H21+H33+H65+H68+H69</f>
        <v>4828606.0397225125</v>
      </c>
      <c r="I70" s="378">
        <f>I21+I33+I65+I68+I69</f>
        <v>5989565.6971531417</v>
      </c>
      <c r="J70" s="378">
        <f>J21+J33+J65+J68+J69</f>
        <v>7244671.9245837685</v>
      </c>
      <c r="K70" s="431">
        <f>K21+K33+K65+K68+K69</f>
        <v>7244671.9245837685</v>
      </c>
      <c r="L70" s="266"/>
    </row>
    <row r="71" spans="1:12">
      <c r="A71" s="202"/>
      <c r="G71" s="379"/>
      <c r="H71" s="379"/>
      <c r="I71" s="379"/>
      <c r="J71" s="379"/>
      <c r="K71" s="379"/>
      <c r="L71" s="160"/>
    </row>
    <row r="72" spans="1:12">
      <c r="A72" s="202"/>
      <c r="G72" s="379"/>
      <c r="H72" s="379"/>
      <c r="I72" s="379"/>
      <c r="J72" s="379"/>
      <c r="K72" s="379"/>
      <c r="L72" s="161"/>
    </row>
    <row r="73" spans="1:12">
      <c r="A73" s="202"/>
      <c r="G73" s="379"/>
      <c r="H73" s="379"/>
      <c r="I73" s="379"/>
      <c r="J73" s="379"/>
      <c r="K73" s="379"/>
      <c r="L73" s="161"/>
    </row>
    <row r="74" spans="1:12" s="13" customFormat="1" ht="20.25" customHeight="1">
      <c r="A74" s="203"/>
      <c r="B74" s="20" t="s">
        <v>273</v>
      </c>
      <c r="E74" s="14"/>
      <c r="F74" s="15"/>
      <c r="G74" s="380"/>
      <c r="H74" s="405"/>
      <c r="I74" s="405"/>
      <c r="J74" s="405"/>
      <c r="K74" s="432"/>
      <c r="L74" s="262"/>
    </row>
    <row r="75" spans="1:12">
      <c r="A75" s="203"/>
      <c r="E75" s="14" t="s">
        <v>33</v>
      </c>
      <c r="F75" s="15"/>
      <c r="G75" s="380"/>
      <c r="H75" s="405"/>
      <c r="I75" s="405"/>
      <c r="J75" s="405"/>
      <c r="K75" s="432"/>
      <c r="L75" s="262"/>
    </row>
    <row r="76" spans="1:12" s="4" customFormat="1">
      <c r="A76" s="204"/>
      <c r="B76" s="54" t="s">
        <v>16</v>
      </c>
      <c r="C76" s="55"/>
      <c r="D76" s="55"/>
      <c r="E76" s="63" t="s">
        <v>33</v>
      </c>
      <c r="F76" s="64"/>
      <c r="G76" s="381"/>
      <c r="H76" s="406"/>
      <c r="I76" s="406"/>
      <c r="J76" s="406"/>
      <c r="K76" s="433"/>
      <c r="L76" s="263"/>
    </row>
    <row r="77" spans="1:12" s="4" customFormat="1">
      <c r="A77" s="205"/>
      <c r="B77" s="89" t="s">
        <v>274</v>
      </c>
      <c r="C77" s="56"/>
      <c r="D77" s="56"/>
      <c r="E77" s="65"/>
      <c r="F77" s="66"/>
      <c r="G77" s="382"/>
      <c r="H77" s="407"/>
      <c r="I77" s="407"/>
      <c r="J77" s="407"/>
      <c r="K77" s="434"/>
      <c r="L77" s="264"/>
    </row>
    <row r="78" spans="1:12">
      <c r="A78" s="206"/>
      <c r="B78" s="36"/>
      <c r="C78" s="9" t="s">
        <v>76</v>
      </c>
      <c r="D78" s="9"/>
      <c r="E78" s="61"/>
      <c r="F78" s="62"/>
      <c r="G78" s="383"/>
      <c r="H78" s="400"/>
      <c r="I78" s="400"/>
      <c r="J78" s="400"/>
      <c r="K78" s="425"/>
      <c r="L78" s="246"/>
    </row>
    <row r="79" spans="1:12">
      <c r="A79" s="206">
        <v>40</v>
      </c>
      <c r="B79" s="36"/>
      <c r="C79" s="9"/>
      <c r="D79" s="9" t="s">
        <v>117</v>
      </c>
      <c r="E79" s="18">
        <v>112</v>
      </c>
      <c r="F79" s="19">
        <v>1100</v>
      </c>
      <c r="G79" s="368">
        <f>'Yr 1 Operating Statement of Act'!G79</f>
        <v>795952</v>
      </c>
      <c r="H79" s="397">
        <f>('Assumptions Expenses'!F2*'Assumptions Expenses'!E2)+('Assumptions Expenses'!F3*'Assumptions Expenses'!E3)</f>
        <v>1108726.0999999999</v>
      </c>
      <c r="I79" s="397">
        <f>SUM('Assumptions Expenses'!H2*'Assumptions Expenses'!G2)+('Assumptions Expenses'!H3*'Assumptions Expenses'!G3)</f>
        <v>1566646.8231249996</v>
      </c>
      <c r="J79" s="397">
        <f>SUM('Assumptions Expenses'!J2*'Assumptions Expenses'!I2)+('Assumptions Expenses'!J3*'Assumptions Expenses'!I3)</f>
        <v>1913515.1057656244</v>
      </c>
      <c r="K79" s="366">
        <f>SUM('Assumptions Expenses'!L2*'Assumptions Expenses'!K2)+('Assumptions Expenses'!L3*'Assumptions Expenses'!K3)</f>
        <v>2002190.7489242179</v>
      </c>
      <c r="L79" s="247"/>
    </row>
    <row r="80" spans="1:12">
      <c r="A80" s="206">
        <v>41</v>
      </c>
      <c r="B80" s="36"/>
      <c r="C80" s="9"/>
      <c r="D80" s="9" t="s">
        <v>78</v>
      </c>
      <c r="E80" s="18" t="s">
        <v>79</v>
      </c>
      <c r="F80" s="19" t="s">
        <v>80</v>
      </c>
      <c r="G80" s="368">
        <f>'Yr 1 Operating Statement of Act'!G80</f>
        <v>0</v>
      </c>
      <c r="H80" s="397">
        <f>'Assumptions Expenses'!F4*'Assumptions Expenses'!E4</f>
        <v>0</v>
      </c>
      <c r="I80" s="397">
        <f>'Assumptions Expenses'!H4*'Assumptions Expenses'!G4</f>
        <v>0</v>
      </c>
      <c r="J80" s="397">
        <f>SUM('Assumptions Expenses'!J4*'Assumptions Expenses'!I4)</f>
        <v>0</v>
      </c>
      <c r="K80" s="366">
        <f>'Assumptions Expenses'!L4*'Assumptions Expenses'!K4</f>
        <v>0</v>
      </c>
      <c r="L80" s="247"/>
    </row>
    <row r="81" spans="1:12">
      <c r="A81" s="206">
        <v>42</v>
      </c>
      <c r="B81" s="36"/>
      <c r="C81" s="9"/>
      <c r="D81" s="9" t="s">
        <v>81</v>
      </c>
      <c r="E81" s="18" t="s">
        <v>82</v>
      </c>
      <c r="F81" s="19" t="s">
        <v>80</v>
      </c>
      <c r="G81" s="368">
        <f>'Yr 1 Operating Statement of Act'!G81</f>
        <v>15000</v>
      </c>
      <c r="H81" s="397">
        <f>G81*1.02</f>
        <v>15300</v>
      </c>
      <c r="I81" s="397">
        <f t="shared" ref="I81:K81" si="2">H81*1.02</f>
        <v>15606</v>
      </c>
      <c r="J81" s="397">
        <f t="shared" si="2"/>
        <v>15918.12</v>
      </c>
      <c r="K81" s="397">
        <f t="shared" si="2"/>
        <v>16236.482400000001</v>
      </c>
      <c r="L81" s="247"/>
    </row>
    <row r="82" spans="1:12">
      <c r="A82" s="206">
        <v>43</v>
      </c>
      <c r="B82" s="36"/>
      <c r="C82" s="9" t="s">
        <v>83</v>
      </c>
      <c r="D82" s="9"/>
      <c r="E82" s="18" t="s">
        <v>84</v>
      </c>
      <c r="F82" s="19" t="s">
        <v>80</v>
      </c>
      <c r="G82" s="368">
        <f>'Yr 1 Operating Statement of Act'!G82</f>
        <v>35000</v>
      </c>
      <c r="H82" s="397">
        <f t="shared" ref="H82:K84" si="3">G82*1.02</f>
        <v>35700</v>
      </c>
      <c r="I82" s="397">
        <f t="shared" si="3"/>
        <v>36414</v>
      </c>
      <c r="J82" s="397">
        <f t="shared" si="3"/>
        <v>37142.28</v>
      </c>
      <c r="K82" s="397">
        <f t="shared" si="3"/>
        <v>37885.125599999999</v>
      </c>
      <c r="L82" s="247"/>
    </row>
    <row r="83" spans="1:12">
      <c r="A83" s="206">
        <v>44</v>
      </c>
      <c r="B83" s="36"/>
      <c r="C83" s="9" t="s">
        <v>85</v>
      </c>
      <c r="D83" s="9"/>
      <c r="E83" s="18" t="s">
        <v>86</v>
      </c>
      <c r="F83" s="19" t="s">
        <v>80</v>
      </c>
      <c r="G83" s="368">
        <f>'Yr 1 Operating Statement of Act'!G83</f>
        <v>0</v>
      </c>
      <c r="H83" s="397">
        <f t="shared" si="3"/>
        <v>0</v>
      </c>
      <c r="I83" s="397">
        <f t="shared" si="3"/>
        <v>0</v>
      </c>
      <c r="J83" s="397">
        <f t="shared" si="3"/>
        <v>0</v>
      </c>
      <c r="K83" s="397">
        <f t="shared" si="3"/>
        <v>0</v>
      </c>
      <c r="L83" s="247"/>
    </row>
    <row r="84" spans="1:12">
      <c r="A84" s="206">
        <v>45</v>
      </c>
      <c r="B84" s="36"/>
      <c r="C84" s="9" t="s">
        <v>87</v>
      </c>
      <c r="D84" s="9"/>
      <c r="E84" s="18" t="s">
        <v>88</v>
      </c>
      <c r="F84" s="19" t="s">
        <v>80</v>
      </c>
      <c r="G84" s="368">
        <f>'Yr 1 Operating Statement of Act'!G84</f>
        <v>2500</v>
      </c>
      <c r="H84" s="397">
        <f t="shared" si="3"/>
        <v>2550</v>
      </c>
      <c r="I84" s="397">
        <f t="shared" si="3"/>
        <v>2601</v>
      </c>
      <c r="J84" s="397">
        <f t="shared" si="3"/>
        <v>2653.02</v>
      </c>
      <c r="K84" s="397">
        <f t="shared" si="3"/>
        <v>2706.0803999999998</v>
      </c>
      <c r="L84" s="247"/>
    </row>
    <row r="85" spans="1:12">
      <c r="A85" s="206"/>
      <c r="B85" s="36"/>
      <c r="C85" s="9" t="s">
        <v>89</v>
      </c>
      <c r="D85" s="9"/>
      <c r="E85" s="61"/>
      <c r="F85" s="62"/>
      <c r="G85" s="383"/>
      <c r="H85" s="400"/>
      <c r="I85" s="400"/>
      <c r="J85" s="400"/>
      <c r="K85" s="425"/>
      <c r="L85" s="246"/>
    </row>
    <row r="86" spans="1:12">
      <c r="A86" s="206">
        <v>46</v>
      </c>
      <c r="B86" s="36"/>
      <c r="C86" s="9"/>
      <c r="D86" s="9" t="s">
        <v>6</v>
      </c>
      <c r="E86" s="18" t="s">
        <v>90</v>
      </c>
      <c r="F86" s="19" t="s">
        <v>80</v>
      </c>
      <c r="G86" s="368">
        <f>'Yr 1 Operating Statement of Act'!G86</f>
        <v>10500</v>
      </c>
      <c r="H86" s="397">
        <f>G86/Assumptions!B18*Assumptions!C18</f>
        <v>14000</v>
      </c>
      <c r="I86" s="397">
        <f t="shared" ref="I86:K86" si="4">H86*1.02</f>
        <v>14280</v>
      </c>
      <c r="J86" s="397">
        <f t="shared" si="4"/>
        <v>14565.6</v>
      </c>
      <c r="K86" s="397">
        <f t="shared" si="4"/>
        <v>14856.912</v>
      </c>
      <c r="L86" s="247"/>
    </row>
    <row r="87" spans="1:12">
      <c r="A87" s="206">
        <v>47</v>
      </c>
      <c r="B87" s="36"/>
      <c r="C87" s="9"/>
      <c r="D87" s="9" t="s">
        <v>91</v>
      </c>
      <c r="E87" s="18" t="s">
        <v>92</v>
      </c>
      <c r="F87" s="19" t="s">
        <v>80</v>
      </c>
      <c r="G87" s="368">
        <f>'Yr 1 Operating Statement of Act'!G87</f>
        <v>58500</v>
      </c>
      <c r="H87" s="397">
        <f>G87/Assumptions!B18*Assumptions!C18</f>
        <v>78000</v>
      </c>
      <c r="I87" s="397">
        <f t="shared" ref="I87:K87" si="5">H87*1.02</f>
        <v>79560</v>
      </c>
      <c r="J87" s="397">
        <f t="shared" si="5"/>
        <v>81151.199999999997</v>
      </c>
      <c r="K87" s="397">
        <f t="shared" si="5"/>
        <v>82774.224000000002</v>
      </c>
      <c r="L87" s="247"/>
    </row>
    <row r="88" spans="1:12">
      <c r="A88" s="206">
        <v>48</v>
      </c>
      <c r="B88" s="36"/>
      <c r="C88" s="9" t="s">
        <v>93</v>
      </c>
      <c r="D88" s="9"/>
      <c r="E88" s="18" t="s">
        <v>94</v>
      </c>
      <c r="F88" s="19" t="s">
        <v>80</v>
      </c>
      <c r="G88" s="368">
        <f>'Yr 1 Operating Statement of Act'!G88</f>
        <v>15000</v>
      </c>
      <c r="H88" s="397">
        <f>G88/Assumptions!B18*Assumptions!C18</f>
        <v>20000</v>
      </c>
      <c r="I88" s="397">
        <f t="shared" ref="I88:K88" si="6">H88*1.02</f>
        <v>20400</v>
      </c>
      <c r="J88" s="397">
        <f t="shared" si="6"/>
        <v>20808</v>
      </c>
      <c r="K88" s="397">
        <f t="shared" si="6"/>
        <v>21224.16</v>
      </c>
      <c r="L88" s="247"/>
    </row>
    <row r="89" spans="1:12">
      <c r="A89" s="206">
        <v>49</v>
      </c>
      <c r="B89" s="36"/>
      <c r="C89" s="9" t="s">
        <v>95</v>
      </c>
      <c r="D89" s="9"/>
      <c r="E89" s="18" t="s">
        <v>96</v>
      </c>
      <c r="F89" s="19" t="s">
        <v>80</v>
      </c>
      <c r="G89" s="368">
        <f>'Yr 1 Operating Statement of Act'!G89</f>
        <v>23100</v>
      </c>
      <c r="H89" s="397">
        <f>G89/Assumptions!B18*Assumptions!C18</f>
        <v>30800</v>
      </c>
      <c r="I89" s="397">
        <f t="shared" ref="I89:K90" si="7">H89*1.02</f>
        <v>31416</v>
      </c>
      <c r="J89" s="397">
        <f t="shared" si="7"/>
        <v>32044.32</v>
      </c>
      <c r="K89" s="397">
        <f t="shared" si="7"/>
        <v>32685.206399999999</v>
      </c>
      <c r="L89" s="247"/>
    </row>
    <row r="90" spans="1:12">
      <c r="A90" s="206">
        <v>50</v>
      </c>
      <c r="B90" s="36"/>
      <c r="C90" s="9" t="s">
        <v>295</v>
      </c>
      <c r="D90" s="9"/>
      <c r="E90" s="18" t="s">
        <v>97</v>
      </c>
      <c r="F90" s="19" t="s">
        <v>80</v>
      </c>
      <c r="G90" s="368">
        <f>'Yr 1 Operating Statement of Act'!G90</f>
        <v>62144</v>
      </c>
      <c r="H90" s="397">
        <f>SUM('Assumptions Expenses'!F2:F4)*(3884*1.03)</f>
        <v>88011.44</v>
      </c>
      <c r="I90" s="397">
        <f>SUM('Assumptions Expenses'!H2:H4)*(3884*1.02)</f>
        <v>122812.08000000002</v>
      </c>
      <c r="J90" s="397">
        <f t="shared" si="7"/>
        <v>125268.32160000002</v>
      </c>
      <c r="K90" s="366">
        <f t="shared" si="7"/>
        <v>127773.68803200003</v>
      </c>
      <c r="L90" s="247"/>
    </row>
    <row r="91" spans="1:12">
      <c r="A91" s="206">
        <v>51</v>
      </c>
      <c r="B91" s="36"/>
      <c r="C91" s="9" t="s">
        <v>98</v>
      </c>
      <c r="D91" s="9"/>
      <c r="E91" s="18" t="s">
        <v>99</v>
      </c>
      <c r="F91" s="19" t="s">
        <v>80</v>
      </c>
      <c r="G91" s="368">
        <f>'Yr 1 Operating Statement of Act'!G91</f>
        <v>50279.023999999998</v>
      </c>
      <c r="H91" s="397">
        <f>SUM(H79:H81)*0.062</f>
        <v>69689.618199999997</v>
      </c>
      <c r="I91" s="397">
        <f>SUM(I79:I81)*0.062</f>
        <v>98099.675033749983</v>
      </c>
      <c r="J91" s="397">
        <f>SUM(J79:J81)*0.062</f>
        <v>119624.85999746872</v>
      </c>
      <c r="K91" s="397">
        <f>SUM(K79:K81)*0.062</f>
        <v>125142.48834210151</v>
      </c>
      <c r="L91" s="247"/>
    </row>
    <row r="92" spans="1:12">
      <c r="A92" s="206">
        <v>52</v>
      </c>
      <c r="B92" s="36"/>
      <c r="C92" s="9" t="s">
        <v>100</v>
      </c>
      <c r="D92" s="9"/>
      <c r="E92" s="18" t="s">
        <v>101</v>
      </c>
      <c r="F92" s="19" t="s">
        <v>80</v>
      </c>
      <c r="G92" s="368">
        <f>'Yr 1 Operating Statement of Act'!G92</f>
        <v>11758.804</v>
      </c>
      <c r="H92" s="397">
        <f>SUM(H79:H81)*0.0145</f>
        <v>16298.378449999998</v>
      </c>
      <c r="I92" s="397">
        <f t="shared" ref="I92:K92" si="8">SUM(I79:I81)*0.0145</f>
        <v>22942.665935312496</v>
      </c>
      <c r="J92" s="397">
        <f t="shared" si="8"/>
        <v>27976.781773601557</v>
      </c>
      <c r="K92" s="397">
        <f t="shared" si="8"/>
        <v>29267.194854201163</v>
      </c>
      <c r="L92" s="247"/>
    </row>
    <row r="93" spans="1:12">
      <c r="A93" s="206">
        <v>53</v>
      </c>
      <c r="B93" s="36"/>
      <c r="C93" s="9" t="s">
        <v>219</v>
      </c>
      <c r="D93" s="9"/>
      <c r="E93" s="18" t="s">
        <v>220</v>
      </c>
      <c r="F93" s="19">
        <v>1100</v>
      </c>
      <c r="G93" s="368">
        <f>'Yr 1 Operating Statement of Act'!G93</f>
        <v>16219.04</v>
      </c>
      <c r="H93" s="397">
        <f>SUM(H79:H81)*0.02</f>
        <v>22480.521999999997</v>
      </c>
      <c r="I93" s="397">
        <f>SUM(I79:I81)*0.03</f>
        <v>47467.584693749988</v>
      </c>
      <c r="J93" s="397">
        <f>SUM(J79:J81)*0.03</f>
        <v>57882.996772968734</v>
      </c>
      <c r="K93" s="397">
        <f>SUM(K79:K81)*0.04</f>
        <v>80737.089252968726</v>
      </c>
      <c r="L93" s="247"/>
    </row>
    <row r="94" spans="1:12">
      <c r="A94" s="206">
        <v>54</v>
      </c>
      <c r="B94" s="36"/>
      <c r="C94" s="9" t="s">
        <v>102</v>
      </c>
      <c r="D94" s="9"/>
      <c r="E94" s="18" t="s">
        <v>103</v>
      </c>
      <c r="F94" s="19" t="s">
        <v>80</v>
      </c>
      <c r="G94" s="368">
        <f>'Yr 1 Operating Statement of Act'!G94</f>
        <v>7947.3296</v>
      </c>
      <c r="H94" s="397">
        <f>SUM(H79:H81)*0.0098</f>
        <v>11015.455779999998</v>
      </c>
      <c r="I94" s="397">
        <f t="shared" ref="I94:K94" si="9">SUM(I79:I81)*0.0098</f>
        <v>15506.077666624997</v>
      </c>
      <c r="J94" s="397">
        <f t="shared" si="9"/>
        <v>18908.445612503121</v>
      </c>
      <c r="K94" s="397">
        <f t="shared" si="9"/>
        <v>19780.586866977337</v>
      </c>
      <c r="L94" s="247"/>
    </row>
    <row r="95" spans="1:12">
      <c r="A95" s="206">
        <v>55</v>
      </c>
      <c r="B95" s="36"/>
      <c r="C95" s="9" t="s">
        <v>104</v>
      </c>
      <c r="D95" s="9"/>
      <c r="E95" s="18" t="s">
        <v>105</v>
      </c>
      <c r="F95" s="19" t="s">
        <v>80</v>
      </c>
      <c r="G95" s="368">
        <f>'Yr 1 Operating Statement of Act'!G95</f>
        <v>6082.1399999999994</v>
      </c>
      <c r="H95" s="397">
        <f>SUM(H79:H81)*0.0075</f>
        <v>8430.195749999999</v>
      </c>
      <c r="I95" s="397">
        <f t="shared" ref="I95:K95" si="10">SUM(I79:I81)*0.0075</f>
        <v>11866.896173437497</v>
      </c>
      <c r="J95" s="397">
        <f t="shared" si="10"/>
        <v>14470.749193242184</v>
      </c>
      <c r="K95" s="397">
        <f t="shared" si="10"/>
        <v>15138.204234931634</v>
      </c>
      <c r="L95" s="247"/>
    </row>
    <row r="96" spans="1:12">
      <c r="A96" s="206">
        <v>56</v>
      </c>
      <c r="B96" s="36"/>
      <c r="C96" s="85" t="s">
        <v>283</v>
      </c>
      <c r="D96" s="9"/>
      <c r="E96" s="18"/>
      <c r="F96" s="19"/>
      <c r="G96" s="365"/>
      <c r="H96" s="397"/>
      <c r="I96" s="397"/>
      <c r="J96" s="397"/>
      <c r="K96" s="366"/>
      <c r="L96" s="247"/>
    </row>
    <row r="97" spans="1:12">
      <c r="A97" s="206">
        <v>57</v>
      </c>
      <c r="B97" s="36"/>
      <c r="C97" s="85"/>
      <c r="D97" s="9"/>
      <c r="E97" s="18"/>
      <c r="F97" s="19"/>
      <c r="G97" s="365"/>
      <c r="H97" s="397"/>
      <c r="I97" s="397"/>
      <c r="J97" s="397"/>
      <c r="K97" s="366"/>
      <c r="L97" s="247"/>
    </row>
    <row r="98" spans="1:12">
      <c r="A98" s="206">
        <v>58</v>
      </c>
      <c r="B98" s="36"/>
      <c r="C98" s="85"/>
      <c r="D98" s="9"/>
      <c r="E98" s="18"/>
      <c r="F98" s="19"/>
      <c r="G98" s="365"/>
      <c r="H98" s="397"/>
      <c r="I98" s="397"/>
      <c r="J98" s="397"/>
      <c r="K98" s="366"/>
      <c r="L98" s="247"/>
    </row>
    <row r="99" spans="1:12">
      <c r="A99" s="206">
        <v>59</v>
      </c>
      <c r="E99" s="14"/>
      <c r="F99" s="15"/>
      <c r="G99" s="380"/>
      <c r="H99" s="405"/>
      <c r="I99" s="405"/>
      <c r="J99" s="405"/>
      <c r="K99" s="432"/>
      <c r="L99" s="262"/>
    </row>
    <row r="100" spans="1:12">
      <c r="A100" s="207">
        <v>60</v>
      </c>
      <c r="B100" s="87" t="s">
        <v>106</v>
      </c>
      <c r="C100" s="51"/>
      <c r="D100" s="51"/>
      <c r="E100" s="49"/>
      <c r="F100" s="50"/>
      <c r="G100" s="384">
        <f>SUM(G79:G99)</f>
        <v>1109982.3376</v>
      </c>
      <c r="H100" s="408">
        <f>SUM(H79:H99)</f>
        <v>1521001.7101799995</v>
      </c>
      <c r="I100" s="408">
        <f>SUM(I79:I99)</f>
        <v>2085618.8026278745</v>
      </c>
      <c r="J100" s="408">
        <f>SUM(J79:J99)</f>
        <v>2481929.8007154088</v>
      </c>
      <c r="K100" s="428">
        <f>SUM(K79:K99)</f>
        <v>2608398.1913073985</v>
      </c>
      <c r="L100" s="250"/>
    </row>
    <row r="101" spans="1:12">
      <c r="A101" s="206"/>
      <c r="E101" s="14"/>
      <c r="F101" s="15"/>
      <c r="G101" s="380"/>
      <c r="H101" s="405"/>
      <c r="I101" s="405"/>
      <c r="J101" s="405"/>
      <c r="K101" s="432"/>
      <c r="L101" s="262"/>
    </row>
    <row r="102" spans="1:12" s="4" customFormat="1">
      <c r="A102" s="208"/>
      <c r="B102" s="90" t="s">
        <v>14</v>
      </c>
      <c r="C102" s="55"/>
      <c r="D102" s="59"/>
      <c r="E102" s="63"/>
      <c r="F102" s="64"/>
      <c r="G102" s="381"/>
      <c r="H102" s="406"/>
      <c r="I102" s="406"/>
      <c r="J102" s="406"/>
      <c r="K102" s="433"/>
      <c r="L102" s="263"/>
    </row>
    <row r="103" spans="1:12" s="4" customFormat="1">
      <c r="A103" s="209"/>
      <c r="B103" s="89" t="s">
        <v>15</v>
      </c>
      <c r="C103" s="56"/>
      <c r="D103" s="60"/>
      <c r="E103" s="65"/>
      <c r="F103" s="66"/>
      <c r="G103" s="382"/>
      <c r="H103" s="407"/>
      <c r="I103" s="407"/>
      <c r="J103" s="407"/>
      <c r="K103" s="434"/>
      <c r="L103" s="264"/>
    </row>
    <row r="104" spans="1:12">
      <c r="A104" s="206"/>
      <c r="B104" s="9"/>
      <c r="C104" s="9" t="s">
        <v>76</v>
      </c>
      <c r="E104" s="61"/>
      <c r="F104" s="62"/>
      <c r="G104" s="383"/>
      <c r="H104" s="400"/>
      <c r="I104" s="400"/>
      <c r="J104" s="400"/>
      <c r="K104" s="425"/>
      <c r="L104" s="246"/>
    </row>
    <row r="105" spans="1:12">
      <c r="A105" s="206">
        <v>61</v>
      </c>
      <c r="B105" s="36"/>
      <c r="C105" s="9"/>
      <c r="D105" s="9" t="s">
        <v>117</v>
      </c>
      <c r="E105" s="18" t="s">
        <v>77</v>
      </c>
      <c r="F105" s="19" t="s">
        <v>107</v>
      </c>
      <c r="G105" s="368">
        <f>'Yr 1 Operating Statement of Act'!G105</f>
        <v>191232</v>
      </c>
      <c r="H105" s="397">
        <f>SUM('Assumptions Expenses'!F7*'Assumptions Expenses'!E7)+('Assumptions Expenses'!F9*'Assumptions Expenses'!E9)</f>
        <v>245016</v>
      </c>
      <c r="I105" s="397">
        <f>SUM('Assumptions Expenses'!H7*'Assumptions Expenses'!G7)+('Assumptions Expenses'!H9*'Assumptions Expenses'!G9)</f>
        <v>301369.67999999993</v>
      </c>
      <c r="J105" s="397">
        <f>SUM('Assumptions Expenses'!I7*'Assumptions Expenses'!J7)+('Assumptions Expenses'!I9*'Assumptions Expenses'!J9)</f>
        <v>411871.89599999989</v>
      </c>
      <c r="K105" s="397">
        <f>SUM('Assumptions Expenses'!J7*'Assumptions Expenses'!I7)+('Assumptions Expenses'!J9*'Assumptions Expenses'!I9)</f>
        <v>411871.89599999989</v>
      </c>
      <c r="L105" s="247"/>
    </row>
    <row r="106" spans="1:12">
      <c r="A106" s="206">
        <v>62</v>
      </c>
      <c r="B106" s="36"/>
      <c r="C106" s="9"/>
      <c r="D106" s="9" t="s">
        <v>285</v>
      </c>
      <c r="E106" s="18" t="s">
        <v>108</v>
      </c>
      <c r="F106" s="19" t="s">
        <v>107</v>
      </c>
      <c r="G106" s="368">
        <f>'Yr 1 Operating Statement of Act'!G106</f>
        <v>52910</v>
      </c>
      <c r="H106" s="397">
        <f>'Assumptions Expenses'!F8*'Assumptions Expenses'!E8</f>
        <v>54232.749999999993</v>
      </c>
      <c r="I106" s="397">
        <f>'Assumptions Expenses'!H8*'Assumptions Expenses'!G8</f>
        <v>55588.568749999991</v>
      </c>
      <c r="J106" s="397">
        <f>SUM('Assumptions Expenses'!I8*'Assumptions Expenses'!H8)+('Assumptions Expenses'!I10*'Assumptions Expenses'!H10)</f>
        <v>115138.99184374997</v>
      </c>
      <c r="K106" s="397">
        <f>SUM('Assumptions Expenses'!J8*'Assumptions Expenses'!I8)+('Assumptions Expenses'!J10*'Assumptions Expenses'!I10)</f>
        <v>115138.99184374997</v>
      </c>
      <c r="L106" s="247"/>
    </row>
    <row r="107" spans="1:12">
      <c r="A107" s="206">
        <v>63</v>
      </c>
      <c r="B107" s="36"/>
      <c r="C107" s="9"/>
      <c r="D107" s="9" t="s">
        <v>78</v>
      </c>
      <c r="E107" s="18" t="s">
        <v>79</v>
      </c>
      <c r="F107" s="19" t="s">
        <v>107</v>
      </c>
      <c r="G107" s="368">
        <f>'Yr 1 Operating Statement of Act'!G107</f>
        <v>0</v>
      </c>
      <c r="H107" s="397">
        <v>0</v>
      </c>
      <c r="I107" s="397">
        <v>0</v>
      </c>
      <c r="J107" s="397">
        <v>0</v>
      </c>
      <c r="K107" s="366">
        <v>0</v>
      </c>
      <c r="L107" s="247"/>
    </row>
    <row r="108" spans="1:12">
      <c r="A108" s="206">
        <v>64</v>
      </c>
      <c r="B108" s="36"/>
      <c r="C108" s="9"/>
      <c r="D108" s="9" t="s">
        <v>81</v>
      </c>
      <c r="E108" s="18" t="s">
        <v>82</v>
      </c>
      <c r="F108" s="19" t="s">
        <v>107</v>
      </c>
      <c r="G108" s="368">
        <f>'Yr 1 Operating Statement of Act'!G108</f>
        <v>54008</v>
      </c>
      <c r="H108" s="397">
        <f>'Assumptions Expenses'!F10*'Assumptions Expenses'!E10</f>
        <v>55358.2</v>
      </c>
      <c r="I108" s="397">
        <f>'Assumptions Expenses'!G10*'Assumptions Expenses'!F10</f>
        <v>56742.154999999992</v>
      </c>
      <c r="J108" s="397">
        <f>'Assumptions Expenses'!H10*'Assumptions Expenses'!G10</f>
        <v>56742.154999999992</v>
      </c>
      <c r="K108" s="397">
        <f>'Assumptions Expenses'!I10*'Assumptions Expenses'!H10</f>
        <v>58160.708874999989</v>
      </c>
      <c r="L108" s="247"/>
    </row>
    <row r="109" spans="1:12">
      <c r="A109" s="206">
        <v>65</v>
      </c>
      <c r="B109" s="36"/>
      <c r="C109" s="9" t="s">
        <v>83</v>
      </c>
      <c r="D109" s="9"/>
      <c r="E109" s="18" t="s">
        <v>84</v>
      </c>
      <c r="F109" s="19" t="s">
        <v>107</v>
      </c>
      <c r="G109" s="368">
        <f>'Yr 1 Operating Statement of Act'!G109</f>
        <v>45000</v>
      </c>
      <c r="H109" s="397">
        <f>$G$109/Assumptions!$B$26*Assumptions!C26</f>
        <v>59318.181818181816</v>
      </c>
      <c r="I109" s="397">
        <f>$G$109/Assumptions!$B$26*Assumptions!D26</f>
        <v>78750</v>
      </c>
      <c r="J109" s="397">
        <f>$G$109/Assumptions!$B$26*Assumptions!E26</f>
        <v>99204.545454545456</v>
      </c>
      <c r="K109" s="397">
        <f>$G$109/Assumptions!$B$26*Assumptions!F26</f>
        <v>99204.545454545456</v>
      </c>
      <c r="L109" s="247"/>
    </row>
    <row r="110" spans="1:12">
      <c r="A110" s="206">
        <v>66</v>
      </c>
      <c r="B110" s="36"/>
      <c r="C110" s="9" t="s">
        <v>85</v>
      </c>
      <c r="D110" s="9"/>
      <c r="E110" s="18">
        <v>430</v>
      </c>
      <c r="F110" s="19">
        <v>1210</v>
      </c>
      <c r="G110" s="368">
        <f>'Yr 1 Operating Statement of Act'!G110</f>
        <v>0</v>
      </c>
      <c r="H110" s="397"/>
      <c r="I110" s="397"/>
      <c r="J110" s="397"/>
      <c r="K110" s="366"/>
      <c r="L110" s="247"/>
    </row>
    <row r="111" spans="1:12">
      <c r="A111" s="206">
        <v>67</v>
      </c>
      <c r="B111" s="36"/>
      <c r="C111" s="9" t="s">
        <v>87</v>
      </c>
      <c r="D111" s="9"/>
      <c r="E111" s="18" t="s">
        <v>88</v>
      </c>
      <c r="F111" s="19" t="s">
        <v>107</v>
      </c>
      <c r="G111" s="368">
        <f>'Yr 1 Operating Statement of Act'!G111</f>
        <v>0</v>
      </c>
      <c r="H111" s="397"/>
      <c r="I111" s="397"/>
      <c r="J111" s="397"/>
      <c r="K111" s="366"/>
      <c r="L111" s="247"/>
    </row>
    <row r="112" spans="1:12">
      <c r="A112" s="206"/>
      <c r="B112" s="36"/>
      <c r="C112" s="9" t="s">
        <v>109</v>
      </c>
      <c r="D112" s="9"/>
      <c r="E112" s="61"/>
      <c r="F112" s="62"/>
      <c r="G112" s="383"/>
      <c r="H112" s="400"/>
      <c r="I112" s="400"/>
      <c r="J112" s="400"/>
      <c r="K112" s="425"/>
      <c r="L112" s="246"/>
    </row>
    <row r="113" spans="1:12">
      <c r="A113" s="206">
        <v>68</v>
      </c>
      <c r="B113" s="36"/>
      <c r="C113" s="9"/>
      <c r="D113" s="9" t="s">
        <v>110</v>
      </c>
      <c r="E113" s="18" t="s">
        <v>90</v>
      </c>
      <c r="F113" s="19" t="s">
        <v>107</v>
      </c>
      <c r="G113" s="368">
        <f>'Yr 1 Operating Statement of Act'!G113</f>
        <v>1540</v>
      </c>
      <c r="H113" s="397">
        <f>$G$113/Assumptions!$B$26*Assumptions!C26</f>
        <v>2030</v>
      </c>
      <c r="I113" s="397">
        <f>$G$113/Assumptions!$B$26*Assumptions!D26</f>
        <v>2695</v>
      </c>
      <c r="J113" s="397">
        <f>$G$113/Assumptions!$B$26*Assumptions!E26</f>
        <v>3395</v>
      </c>
      <c r="K113" s="397">
        <f>$G$113/Assumptions!$B$26*Assumptions!F26</f>
        <v>3395</v>
      </c>
      <c r="L113" s="247"/>
    </row>
    <row r="114" spans="1:12">
      <c r="A114" s="206">
        <v>69</v>
      </c>
      <c r="B114" s="36"/>
      <c r="C114" s="9"/>
      <c r="D114" s="9" t="s">
        <v>91</v>
      </c>
      <c r="E114" s="18" t="s">
        <v>92</v>
      </c>
      <c r="F114" s="19" t="s">
        <v>107</v>
      </c>
      <c r="G114" s="368">
        <f>'Yr 1 Operating Statement of Act'!G114</f>
        <v>8580</v>
      </c>
      <c r="H114" s="397">
        <f>$G114/Assumptions!$B$26*Assumptions!C$26</f>
        <v>11310</v>
      </c>
      <c r="I114" s="397">
        <f>$G114/Assumptions!$B$26*Assumptions!D$26</f>
        <v>15015</v>
      </c>
      <c r="J114" s="397">
        <f>$G114/Assumptions!$B$26*Assumptions!E$26</f>
        <v>18915</v>
      </c>
      <c r="K114" s="397">
        <f>$G114/Assumptions!$B$26*Assumptions!F$26</f>
        <v>18915</v>
      </c>
      <c r="L114" s="247"/>
    </row>
    <row r="115" spans="1:12">
      <c r="A115" s="206">
        <v>70</v>
      </c>
      <c r="B115" s="36"/>
      <c r="C115" s="9" t="s">
        <v>93</v>
      </c>
      <c r="D115" s="9"/>
      <c r="E115" s="18" t="s">
        <v>94</v>
      </c>
      <c r="F115" s="19" t="s">
        <v>107</v>
      </c>
      <c r="G115" s="368">
        <f>'Yr 1 Operating Statement of Act'!G115</f>
        <v>2200</v>
      </c>
      <c r="H115" s="397">
        <f>$G115/Assumptions!$B$26*Assumptions!C$26</f>
        <v>2900</v>
      </c>
      <c r="I115" s="397">
        <f>$G115/Assumptions!$B$26*Assumptions!D$26</f>
        <v>3850</v>
      </c>
      <c r="J115" s="397">
        <f>$G115/Assumptions!$B$26*Assumptions!E$26</f>
        <v>4850</v>
      </c>
      <c r="K115" s="397">
        <f>$G115/Assumptions!$B$26*Assumptions!F$26</f>
        <v>4850</v>
      </c>
      <c r="L115" s="247"/>
    </row>
    <row r="116" spans="1:12">
      <c r="A116" s="206">
        <v>71</v>
      </c>
      <c r="B116" s="36"/>
      <c r="C116" s="9" t="s">
        <v>95</v>
      </c>
      <c r="D116" s="9"/>
      <c r="E116" s="18" t="s">
        <v>96</v>
      </c>
      <c r="F116" s="19" t="s">
        <v>107</v>
      </c>
      <c r="G116" s="368">
        <f>'Yr 1 Operating Statement of Act'!G116</f>
        <v>3388</v>
      </c>
      <c r="H116" s="397">
        <f>$G116/Assumptions!$B$26*Assumptions!C$26</f>
        <v>4466</v>
      </c>
      <c r="I116" s="397">
        <f>$G116/Assumptions!$B$26*Assumptions!D$26</f>
        <v>5929</v>
      </c>
      <c r="J116" s="397">
        <f>$G116/Assumptions!$B$26*Assumptions!E$26</f>
        <v>7469</v>
      </c>
      <c r="K116" s="397">
        <f>$G116/Assumptions!$B$26*Assumptions!F$26</f>
        <v>7469</v>
      </c>
      <c r="L116" s="247"/>
    </row>
    <row r="117" spans="1:12">
      <c r="A117" s="206">
        <v>72</v>
      </c>
      <c r="B117" s="36"/>
      <c r="C117" s="9" t="s">
        <v>295</v>
      </c>
      <c r="D117" s="9"/>
      <c r="E117" s="18" t="s">
        <v>97</v>
      </c>
      <c r="F117" s="19" t="s">
        <v>34</v>
      </c>
      <c r="G117" s="368">
        <f>'Yr 1 Operating Statement of Act'!G117</f>
        <v>27188</v>
      </c>
      <c r="H117" s="397">
        <f>SUM('Assumptions Expenses'!F7:F10)*(3884*1.02)</f>
        <v>31693.440000000002</v>
      </c>
      <c r="I117" s="397">
        <f>SUM('Assumptions Expenses'!H7:H10)*(3884*1.02)</f>
        <v>35655.120000000003</v>
      </c>
      <c r="J117" s="397">
        <f>SUM('Assumptions Expenses'!J7:J10)*(3884*1.04)</f>
        <v>44432.959999999999</v>
      </c>
      <c r="K117" s="366">
        <f>SUM('Assumptions Expenses'!L7:L10)*(3884*1.06)</f>
        <v>45287.44</v>
      </c>
      <c r="L117" s="247"/>
    </row>
    <row r="118" spans="1:12">
      <c r="A118" s="206">
        <v>73</v>
      </c>
      <c r="B118" s="36"/>
      <c r="C118" s="9" t="s">
        <v>98</v>
      </c>
      <c r="D118" s="9"/>
      <c r="E118" s="18" t="s">
        <v>99</v>
      </c>
      <c r="F118" s="19" t="s">
        <v>34</v>
      </c>
      <c r="G118" s="368">
        <f>'Yr 1 Operating Statement of Act'!G118</f>
        <v>18485.3</v>
      </c>
      <c r="H118" s="397">
        <f>SUM(H105:H108)*0.062</f>
        <v>21985.6309</v>
      </c>
      <c r="I118" s="397">
        <f>SUM(I105:I108)*0.062</f>
        <v>25649.425032499992</v>
      </c>
      <c r="J118" s="397">
        <f>SUM(J105:J108)*0.062</f>
        <v>36192.688656312494</v>
      </c>
      <c r="K118" s="397">
        <f>SUM(K105:K108)*0.062</f>
        <v>36280.638996562491</v>
      </c>
      <c r="L118" s="247"/>
    </row>
    <row r="119" spans="1:12">
      <c r="A119" s="206">
        <v>74</v>
      </c>
      <c r="B119" s="36"/>
      <c r="C119" s="9" t="s">
        <v>100</v>
      </c>
      <c r="D119" s="9"/>
      <c r="E119" s="18" t="s">
        <v>101</v>
      </c>
      <c r="F119" s="19" t="s">
        <v>34</v>
      </c>
      <c r="G119" s="368">
        <f>'Yr 1 Operating Statement of Act'!G119</f>
        <v>4323.1750000000002</v>
      </c>
      <c r="H119" s="368">
        <f>SUM(H105:H108)*0.0145</f>
        <v>5141.8007750000006</v>
      </c>
      <c r="I119" s="368">
        <f t="shared" ref="I119:K119" si="11">SUM(I105:I108)*0.0145</f>
        <v>5998.6558543749989</v>
      </c>
      <c r="J119" s="368">
        <f t="shared" si="11"/>
        <v>8464.419121234374</v>
      </c>
      <c r="K119" s="368">
        <f t="shared" si="11"/>
        <v>8484.9881524218727</v>
      </c>
      <c r="L119" s="247"/>
    </row>
    <row r="120" spans="1:12">
      <c r="A120" s="206">
        <v>75</v>
      </c>
      <c r="B120" s="36"/>
      <c r="C120" s="9" t="s">
        <v>219</v>
      </c>
      <c r="D120" s="9"/>
      <c r="E120" s="18" t="s">
        <v>220</v>
      </c>
      <c r="F120" s="19">
        <v>1200</v>
      </c>
      <c r="G120" s="368">
        <f>'Yr 1 Operating Statement of Act'!G120</f>
        <v>5963</v>
      </c>
      <c r="H120" s="368">
        <f>SUM(H105:H108)*0.02</f>
        <v>7092.1390000000001</v>
      </c>
      <c r="I120" s="368">
        <f>SUM(I105:I108)*0.03</f>
        <v>12411.012112499997</v>
      </c>
      <c r="J120" s="368">
        <f>SUM(J105:J108)*0.03</f>
        <v>17512.591285312494</v>
      </c>
      <c r="K120" s="368">
        <f>SUM(K105:K108)*0.04</f>
        <v>23406.863868749995</v>
      </c>
      <c r="L120" s="247"/>
    </row>
    <row r="121" spans="1:12">
      <c r="A121" s="206">
        <v>76</v>
      </c>
      <c r="B121" s="36"/>
      <c r="C121" s="9" t="s">
        <v>102</v>
      </c>
      <c r="D121" s="9"/>
      <c r="E121" s="18" t="s">
        <v>103</v>
      </c>
      <c r="F121" s="19" t="s">
        <v>34</v>
      </c>
      <c r="G121" s="368">
        <f>'Yr 1 Operating Statement of Act'!G121</f>
        <v>2921.87</v>
      </c>
      <c r="H121" s="368">
        <f>SUM(H105:H108)*0.0098</f>
        <v>3475.1481100000001</v>
      </c>
      <c r="I121" s="368">
        <f t="shared" ref="I121:K121" si="12">SUM(I105:I108)*0.0098</f>
        <v>4054.2639567499987</v>
      </c>
      <c r="J121" s="368">
        <f t="shared" si="12"/>
        <v>5720.7798198687487</v>
      </c>
      <c r="K121" s="368">
        <f t="shared" si="12"/>
        <v>5734.6816478437486</v>
      </c>
      <c r="L121" s="247"/>
    </row>
    <row r="122" spans="1:12">
      <c r="A122" s="206">
        <v>77</v>
      </c>
      <c r="B122" s="36"/>
      <c r="C122" s="9" t="s">
        <v>104</v>
      </c>
      <c r="D122" s="9"/>
      <c r="E122" s="18" t="s">
        <v>105</v>
      </c>
      <c r="F122" s="19" t="s">
        <v>34</v>
      </c>
      <c r="G122" s="368">
        <f>'Yr 1 Operating Statement of Act'!G122</f>
        <v>2236.125</v>
      </c>
      <c r="H122" s="368">
        <f>SUM(H105:H108)*0.0075</f>
        <v>2659.5521250000002</v>
      </c>
      <c r="I122" s="368">
        <f t="shared" ref="I122:K122" si="13">SUM(I105:I108)*0.0075</f>
        <v>3102.7530281249992</v>
      </c>
      <c r="J122" s="368">
        <f t="shared" si="13"/>
        <v>4378.1478213281234</v>
      </c>
      <c r="K122" s="368">
        <f t="shared" si="13"/>
        <v>4388.7869753906234</v>
      </c>
      <c r="L122" s="247"/>
    </row>
    <row r="123" spans="1:12">
      <c r="A123" s="206">
        <v>78</v>
      </c>
      <c r="B123" s="36"/>
      <c r="C123" s="85" t="s">
        <v>283</v>
      </c>
      <c r="D123" s="9"/>
      <c r="E123" s="18"/>
      <c r="F123" s="19"/>
      <c r="G123" s="365"/>
      <c r="H123" s="397"/>
      <c r="I123" s="397"/>
      <c r="J123" s="397"/>
      <c r="K123" s="366"/>
      <c r="L123" s="247"/>
    </row>
    <row r="124" spans="1:12">
      <c r="A124" s="206">
        <v>79</v>
      </c>
      <c r="B124" s="36"/>
      <c r="C124" s="85"/>
      <c r="D124" s="9"/>
      <c r="E124" s="18"/>
      <c r="F124" s="19"/>
      <c r="G124" s="365"/>
      <c r="H124" s="397"/>
      <c r="I124" s="397"/>
      <c r="J124" s="397"/>
      <c r="K124" s="366"/>
      <c r="L124" s="247"/>
    </row>
    <row r="125" spans="1:12">
      <c r="A125" s="206">
        <v>80</v>
      </c>
      <c r="B125" s="36"/>
      <c r="C125" s="85"/>
      <c r="D125" s="9"/>
      <c r="E125" s="18"/>
      <c r="F125" s="19"/>
      <c r="G125" s="365"/>
      <c r="H125" s="397"/>
      <c r="I125" s="397"/>
      <c r="J125" s="397"/>
      <c r="K125" s="366"/>
      <c r="L125" s="247"/>
    </row>
    <row r="126" spans="1:12">
      <c r="A126" s="206">
        <v>81</v>
      </c>
      <c r="C126" s="2"/>
      <c r="E126" s="14"/>
      <c r="F126" s="15"/>
      <c r="G126" s="385"/>
      <c r="H126" s="401"/>
      <c r="I126" s="401"/>
      <c r="J126" s="401"/>
      <c r="K126" s="427"/>
      <c r="L126" s="262"/>
    </row>
    <row r="127" spans="1:12">
      <c r="A127" s="207">
        <v>82</v>
      </c>
      <c r="B127" s="87" t="s">
        <v>7</v>
      </c>
      <c r="C127" s="51"/>
      <c r="D127" s="51"/>
      <c r="E127" s="49"/>
      <c r="F127" s="50"/>
      <c r="G127" s="384">
        <f>SUM(G105:G126)</f>
        <v>419975.47</v>
      </c>
      <c r="H127" s="408">
        <f>SUM(H105:H126)</f>
        <v>506678.84272818186</v>
      </c>
      <c r="I127" s="408">
        <f>SUM(I105:I126)</f>
        <v>606810.63373424998</v>
      </c>
      <c r="J127" s="408">
        <f>SUM(J105:J126)</f>
        <v>834288.17500235152</v>
      </c>
      <c r="K127" s="428">
        <f>SUM(K105:K126)</f>
        <v>842588.54181426414</v>
      </c>
      <c r="L127" s="250"/>
    </row>
    <row r="128" spans="1:12">
      <c r="A128" s="206"/>
      <c r="E128" s="14"/>
      <c r="F128" s="15"/>
      <c r="G128" s="380"/>
      <c r="H128" s="405"/>
      <c r="I128" s="405"/>
      <c r="J128" s="405"/>
      <c r="K128" s="432"/>
      <c r="L128" s="262"/>
    </row>
    <row r="129" spans="1:12">
      <c r="A129" s="204"/>
      <c r="B129" s="111" t="s">
        <v>276</v>
      </c>
      <c r="C129" s="112"/>
      <c r="D129" s="113"/>
      <c r="E129" s="61"/>
      <c r="F129" s="62"/>
      <c r="G129" s="383"/>
      <c r="H129" s="400"/>
      <c r="I129" s="400"/>
      <c r="J129" s="400"/>
      <c r="K129" s="425"/>
      <c r="L129" s="246"/>
    </row>
    <row r="130" spans="1:12" s="4" customFormat="1" ht="14.25" customHeight="1">
      <c r="A130" s="209"/>
      <c r="B130" s="89" t="s">
        <v>275</v>
      </c>
      <c r="C130" s="110"/>
      <c r="D130" s="110"/>
      <c r="E130" s="77"/>
      <c r="F130" s="78"/>
      <c r="G130" s="386"/>
      <c r="H130" s="409"/>
      <c r="I130" s="409"/>
      <c r="J130" s="409"/>
      <c r="K130" s="435"/>
      <c r="L130" s="265"/>
    </row>
    <row r="131" spans="1:12" s="4" customFormat="1" ht="13.5" customHeight="1">
      <c r="A131" s="206"/>
      <c r="B131" s="79"/>
      <c r="C131" s="9" t="s">
        <v>76</v>
      </c>
      <c r="E131" s="61"/>
      <c r="F131" s="62"/>
      <c r="G131" s="386"/>
      <c r="H131" s="409"/>
      <c r="I131" s="409"/>
      <c r="J131" s="409"/>
      <c r="K131" s="435"/>
      <c r="L131" s="246"/>
    </row>
    <row r="132" spans="1:12">
      <c r="A132" s="206">
        <v>83</v>
      </c>
      <c r="B132" s="36"/>
      <c r="C132" s="9"/>
      <c r="D132" s="9" t="s">
        <v>117</v>
      </c>
      <c r="E132" s="18">
        <v>112</v>
      </c>
      <c r="F132" s="19" t="s">
        <v>221</v>
      </c>
      <c r="G132" s="368">
        <f>'Yr 1 Operating Statement of Act'!G132</f>
        <v>84000</v>
      </c>
      <c r="H132" s="368">
        <f>Assumptions!I45</f>
        <v>123420</v>
      </c>
      <c r="I132" s="368">
        <f>Assumptions!J45</f>
        <v>138378</v>
      </c>
      <c r="J132" s="368">
        <f>Assumptions!K45</f>
        <v>249388</v>
      </c>
      <c r="K132" s="368">
        <f>Assumptions!L45</f>
        <v>254378</v>
      </c>
      <c r="L132" s="247"/>
    </row>
    <row r="133" spans="1:12">
      <c r="A133" s="206">
        <v>84</v>
      </c>
      <c r="B133" s="36"/>
      <c r="C133" s="9"/>
      <c r="D133" s="9" t="s">
        <v>78</v>
      </c>
      <c r="E133" s="18">
        <v>115</v>
      </c>
      <c r="F133" s="19" t="s">
        <v>221</v>
      </c>
      <c r="G133" s="368">
        <f>'Yr 1 Operating Statement of Act'!G133</f>
        <v>0</v>
      </c>
      <c r="H133" s="368">
        <f>'Yr 1 Operating Statement of Act'!H133</f>
        <v>0</v>
      </c>
      <c r="I133" s="368">
        <f>'Yr 1 Operating Statement of Act'!I133</f>
        <v>0</v>
      </c>
      <c r="J133" s="368">
        <f>'Yr 1 Operating Statement of Act'!J133</f>
        <v>0</v>
      </c>
      <c r="K133" s="368">
        <f>'Yr 1 Operating Statement of Act'!K133</f>
        <v>0</v>
      </c>
      <c r="L133" s="247"/>
    </row>
    <row r="134" spans="1:12">
      <c r="A134" s="206">
        <v>85</v>
      </c>
      <c r="B134" s="36"/>
      <c r="C134" s="9"/>
      <c r="D134" s="9" t="s">
        <v>81</v>
      </c>
      <c r="E134" s="18">
        <v>123</v>
      </c>
      <c r="F134" s="19" t="s">
        <v>221</v>
      </c>
      <c r="G134" s="368">
        <f>'Yr 1 Operating Statement of Act'!G134</f>
        <v>0</v>
      </c>
      <c r="H134" s="368">
        <f>'Yr 1 Operating Statement of Act'!H134</f>
        <v>0</v>
      </c>
      <c r="I134" s="368">
        <f>'Yr 1 Operating Statement of Act'!I134</f>
        <v>0</v>
      </c>
      <c r="J134" s="368">
        <f>'Yr 1 Operating Statement of Act'!J134</f>
        <v>0</v>
      </c>
      <c r="K134" s="368">
        <f>'Yr 1 Operating Statement of Act'!K134</f>
        <v>0</v>
      </c>
      <c r="L134" s="247"/>
    </row>
    <row r="135" spans="1:12">
      <c r="A135" s="206">
        <v>86</v>
      </c>
      <c r="B135" s="36"/>
      <c r="C135" s="9" t="s">
        <v>83</v>
      </c>
      <c r="D135" s="9"/>
      <c r="E135" s="18" t="s">
        <v>84</v>
      </c>
      <c r="F135" s="19" t="s">
        <v>221</v>
      </c>
      <c r="G135" s="368">
        <f>'Yr 1 Operating Statement of Act'!G135</f>
        <v>0</v>
      </c>
      <c r="H135" s="368">
        <f>'Yr 1 Operating Statement of Act'!H135</f>
        <v>0</v>
      </c>
      <c r="I135" s="368">
        <f>'Yr 1 Operating Statement of Act'!I135</f>
        <v>0</v>
      </c>
      <c r="J135" s="368">
        <f>'Yr 1 Operating Statement of Act'!J135</f>
        <v>0</v>
      </c>
      <c r="K135" s="368">
        <f>'Yr 1 Operating Statement of Act'!K135</f>
        <v>0</v>
      </c>
      <c r="L135" s="247"/>
    </row>
    <row r="136" spans="1:12">
      <c r="A136" s="206">
        <v>87</v>
      </c>
      <c r="B136" s="36"/>
      <c r="C136" s="9" t="s">
        <v>85</v>
      </c>
      <c r="D136" s="9"/>
      <c r="E136" s="18">
        <v>430</v>
      </c>
      <c r="F136" s="19" t="s">
        <v>221</v>
      </c>
      <c r="G136" s="368">
        <f>'Yr 1 Operating Statement of Act'!G136</f>
        <v>0</v>
      </c>
      <c r="H136" s="368">
        <f>'Yr 1 Operating Statement of Act'!H136</f>
        <v>0</v>
      </c>
      <c r="I136" s="368">
        <f>'Yr 1 Operating Statement of Act'!I136</f>
        <v>0</v>
      </c>
      <c r="J136" s="368">
        <f>'Yr 1 Operating Statement of Act'!J136</f>
        <v>0</v>
      </c>
      <c r="K136" s="368">
        <f>'Yr 1 Operating Statement of Act'!K136</f>
        <v>0</v>
      </c>
      <c r="L136" s="247"/>
    </row>
    <row r="137" spans="1:12">
      <c r="A137" s="206">
        <v>88</v>
      </c>
      <c r="B137" s="36"/>
      <c r="C137" s="9" t="s">
        <v>87</v>
      </c>
      <c r="D137" s="9"/>
      <c r="E137" s="18" t="s">
        <v>88</v>
      </c>
      <c r="F137" s="19" t="s">
        <v>221</v>
      </c>
      <c r="G137" s="368">
        <f>'Yr 1 Operating Statement of Act'!G137</f>
        <v>0</v>
      </c>
      <c r="H137" s="368">
        <f>'Yr 1 Operating Statement of Act'!H137</f>
        <v>0</v>
      </c>
      <c r="I137" s="368">
        <f>'Yr 1 Operating Statement of Act'!I137</f>
        <v>0</v>
      </c>
      <c r="J137" s="368">
        <f>'Yr 1 Operating Statement of Act'!J137</f>
        <v>0</v>
      </c>
      <c r="K137" s="368">
        <f>'Yr 1 Operating Statement of Act'!K137</f>
        <v>0</v>
      </c>
      <c r="L137" s="247"/>
    </row>
    <row r="138" spans="1:12">
      <c r="A138" s="206"/>
      <c r="B138" s="36"/>
      <c r="C138" s="9" t="s">
        <v>109</v>
      </c>
      <c r="D138" s="9"/>
      <c r="E138" s="61"/>
      <c r="F138" s="62"/>
      <c r="G138" s="383"/>
      <c r="H138" s="383"/>
      <c r="I138" s="383"/>
      <c r="J138" s="383"/>
      <c r="K138" s="383"/>
      <c r="L138" s="246"/>
    </row>
    <row r="139" spans="1:12">
      <c r="A139" s="206">
        <v>89</v>
      </c>
      <c r="B139" s="36"/>
      <c r="C139" s="9"/>
      <c r="D139" s="9" t="s">
        <v>110</v>
      </c>
      <c r="E139" s="18" t="s">
        <v>90</v>
      </c>
      <c r="F139" s="19" t="s">
        <v>221</v>
      </c>
      <c r="G139" s="368">
        <f>'Yr 1 Operating Statement of Act'!G139</f>
        <v>10000</v>
      </c>
      <c r="H139" s="368">
        <f>G139</f>
        <v>10000</v>
      </c>
      <c r="I139" s="368">
        <f t="shared" ref="I139:K139" si="14">H139</f>
        <v>10000</v>
      </c>
      <c r="J139" s="368">
        <f t="shared" si="14"/>
        <v>10000</v>
      </c>
      <c r="K139" s="368">
        <f t="shared" si="14"/>
        <v>10000</v>
      </c>
      <c r="L139" s="247"/>
    </row>
    <row r="140" spans="1:12">
      <c r="A140" s="206">
        <v>90</v>
      </c>
      <c r="B140" s="36"/>
      <c r="C140" s="9"/>
      <c r="D140" s="9" t="s">
        <v>91</v>
      </c>
      <c r="E140" s="18" t="s">
        <v>92</v>
      </c>
      <c r="F140" s="19" t="s">
        <v>221</v>
      </c>
      <c r="G140" s="368">
        <f>'Yr 1 Operating Statement of Act'!G140</f>
        <v>0</v>
      </c>
      <c r="H140" s="368">
        <f>'Yr 1 Operating Statement of Act'!H140</f>
        <v>0</v>
      </c>
      <c r="I140" s="368">
        <f>'Yr 1 Operating Statement of Act'!I140</f>
        <v>0</v>
      </c>
      <c r="J140" s="368">
        <f>'Yr 1 Operating Statement of Act'!J140</f>
        <v>0</v>
      </c>
      <c r="K140" s="368">
        <f>'Yr 1 Operating Statement of Act'!K140</f>
        <v>0</v>
      </c>
      <c r="L140" s="247"/>
    </row>
    <row r="141" spans="1:12">
      <c r="A141" s="206">
        <v>91</v>
      </c>
      <c r="B141" s="36"/>
      <c r="C141" s="9" t="s">
        <v>242</v>
      </c>
      <c r="D141" s="9"/>
      <c r="E141" s="18" t="s">
        <v>243</v>
      </c>
      <c r="F141" s="19" t="s">
        <v>221</v>
      </c>
      <c r="G141" s="368">
        <f>'Yr 1 Operating Statement of Act'!G141</f>
        <v>0</v>
      </c>
      <c r="H141" s="368">
        <f>'Yr 1 Operating Statement of Act'!H141</f>
        <v>0</v>
      </c>
      <c r="I141" s="368">
        <f>'Yr 1 Operating Statement of Act'!I141</f>
        <v>0</v>
      </c>
      <c r="J141" s="368">
        <f>'Yr 1 Operating Statement of Act'!J141</f>
        <v>0</v>
      </c>
      <c r="K141" s="368">
        <f>'Yr 1 Operating Statement of Act'!K141</f>
        <v>0</v>
      </c>
      <c r="L141" s="247"/>
    </row>
    <row r="142" spans="1:12">
      <c r="A142" s="206">
        <v>92</v>
      </c>
      <c r="B142" s="36"/>
      <c r="C142" s="9" t="s">
        <v>95</v>
      </c>
      <c r="D142" s="9"/>
      <c r="E142" s="18" t="s">
        <v>96</v>
      </c>
      <c r="F142" s="19" t="s">
        <v>221</v>
      </c>
      <c r="G142" s="368">
        <f>'Yr 1 Operating Statement of Act'!G142</f>
        <v>0</v>
      </c>
      <c r="H142" s="368">
        <f>'Yr 1 Operating Statement of Act'!H142</f>
        <v>0</v>
      </c>
      <c r="I142" s="368">
        <f>'Yr 1 Operating Statement of Act'!I142</f>
        <v>0</v>
      </c>
      <c r="J142" s="368">
        <f>'Yr 1 Operating Statement of Act'!J142</f>
        <v>0</v>
      </c>
      <c r="K142" s="368">
        <f>'Yr 1 Operating Statement of Act'!K142</f>
        <v>0</v>
      </c>
      <c r="L142" s="247"/>
    </row>
    <row r="143" spans="1:12">
      <c r="A143" s="206">
        <v>93</v>
      </c>
      <c r="B143" s="36"/>
      <c r="C143" s="9" t="s">
        <v>295</v>
      </c>
      <c r="D143" s="9"/>
      <c r="E143" s="18" t="s">
        <v>97</v>
      </c>
      <c r="F143" s="19" t="s">
        <v>221</v>
      </c>
      <c r="G143" s="368">
        <f>'Yr 1 Operating Statement of Act'!G143</f>
        <v>3884</v>
      </c>
      <c r="H143" s="368">
        <f>SUM(Assumptions!I27,Assumptions!I33)*(3884*1.03)</f>
        <v>4000.52</v>
      </c>
      <c r="I143" s="368">
        <f>SUM(Assumptions!J27,Assumptions!J33)*(3884*1.03)</f>
        <v>4000.52</v>
      </c>
      <c r="J143" s="368">
        <f>SUM(Assumptions!K27,Assumptions!K33)*(3884*1.03)</f>
        <v>8001.04</v>
      </c>
      <c r="K143" s="368">
        <f>SUM(Assumptions!L27,Assumptions!L33)*(3884*1.03)</f>
        <v>8001.04</v>
      </c>
      <c r="L143" s="247"/>
    </row>
    <row r="144" spans="1:12">
      <c r="A144" s="206">
        <v>94</v>
      </c>
      <c r="B144" s="36"/>
      <c r="C144" s="9" t="s">
        <v>98</v>
      </c>
      <c r="D144" s="9"/>
      <c r="E144" s="18" t="s">
        <v>99</v>
      </c>
      <c r="F144" s="19" t="s">
        <v>221</v>
      </c>
      <c r="G144" s="368">
        <f>'Yr 1 Operating Statement of Act'!G144</f>
        <v>5208</v>
      </c>
      <c r="H144" s="397">
        <f>SUM(H132:H134)*0.062</f>
        <v>7652.04</v>
      </c>
      <c r="I144" s="397">
        <f t="shared" ref="I144:K144" si="15">SUM(I132:I134)*0.062</f>
        <v>8579.4359999999997</v>
      </c>
      <c r="J144" s="397">
        <f t="shared" si="15"/>
        <v>15462.056</v>
      </c>
      <c r="K144" s="397">
        <f t="shared" si="15"/>
        <v>15771.436</v>
      </c>
      <c r="L144" s="247"/>
    </row>
    <row r="145" spans="1:12">
      <c r="A145" s="206">
        <v>95</v>
      </c>
      <c r="B145" s="36"/>
      <c r="C145" s="9" t="s">
        <v>100</v>
      </c>
      <c r="D145" s="9"/>
      <c r="E145" s="18" t="s">
        <v>101</v>
      </c>
      <c r="F145" s="19" t="s">
        <v>221</v>
      </c>
      <c r="G145" s="368">
        <f>'Yr 1 Operating Statement of Act'!G145</f>
        <v>1218</v>
      </c>
      <c r="H145" s="397">
        <f>SUM(H132:H134)*0.0145</f>
        <v>1789.5900000000001</v>
      </c>
      <c r="I145" s="397">
        <f t="shared" ref="I145:K145" si="16">SUM(I132:I134)*0.0145</f>
        <v>2006.481</v>
      </c>
      <c r="J145" s="397">
        <f t="shared" si="16"/>
        <v>3616.1260000000002</v>
      </c>
      <c r="K145" s="397">
        <f t="shared" si="16"/>
        <v>3688.4810000000002</v>
      </c>
      <c r="L145" s="247"/>
    </row>
    <row r="146" spans="1:12">
      <c r="A146" s="206">
        <v>96</v>
      </c>
      <c r="B146" s="36"/>
      <c r="C146" s="9" t="s">
        <v>219</v>
      </c>
      <c r="D146" s="9"/>
      <c r="E146" s="18" t="s">
        <v>220</v>
      </c>
      <c r="F146" s="19" t="s">
        <v>221</v>
      </c>
      <c r="G146" s="368">
        <f>'Yr 1 Operating Statement of Act'!G146</f>
        <v>1680</v>
      </c>
      <c r="H146" s="397">
        <f>SUM(H132:H134)*0.02</f>
        <v>2468.4</v>
      </c>
      <c r="I146" s="397">
        <f t="shared" ref="I146:K146" si="17">SUM(I132:I134)*0.02</f>
        <v>2767.56</v>
      </c>
      <c r="J146" s="397">
        <f t="shared" si="17"/>
        <v>4987.76</v>
      </c>
      <c r="K146" s="397">
        <f t="shared" si="17"/>
        <v>5087.5600000000004</v>
      </c>
      <c r="L146" s="247"/>
    </row>
    <row r="147" spans="1:12">
      <c r="A147" s="206">
        <v>97</v>
      </c>
      <c r="B147" s="36"/>
      <c r="C147" s="9" t="s">
        <v>102</v>
      </c>
      <c r="D147" s="9"/>
      <c r="E147" s="18" t="s">
        <v>103</v>
      </c>
      <c r="F147" s="19" t="s">
        <v>221</v>
      </c>
      <c r="G147" s="368">
        <f>'Yr 1 Operating Statement of Act'!G147</f>
        <v>823.19999999999993</v>
      </c>
      <c r="H147" s="397">
        <f>SUM(H132:H134)*0.0098</f>
        <v>1209.5159999999998</v>
      </c>
      <c r="I147" s="397">
        <f t="shared" ref="I147:K147" si="18">SUM(I132:I134)*0.0098</f>
        <v>1356.1043999999999</v>
      </c>
      <c r="J147" s="397">
        <f t="shared" si="18"/>
        <v>2444.0023999999999</v>
      </c>
      <c r="K147" s="397">
        <f t="shared" si="18"/>
        <v>2492.9043999999999</v>
      </c>
      <c r="L147" s="247"/>
    </row>
    <row r="148" spans="1:12">
      <c r="A148" s="206">
        <v>98</v>
      </c>
      <c r="B148" s="36"/>
      <c r="C148" s="9" t="s">
        <v>104</v>
      </c>
      <c r="D148" s="9"/>
      <c r="E148" s="18" t="s">
        <v>105</v>
      </c>
      <c r="F148" s="19" t="s">
        <v>221</v>
      </c>
      <c r="G148" s="368">
        <f>'Yr 1 Operating Statement of Act'!G148</f>
        <v>630</v>
      </c>
      <c r="H148" s="397">
        <f>SUM(H132:H134)*0.0075</f>
        <v>925.65</v>
      </c>
      <c r="I148" s="397">
        <f t="shared" ref="I148:K148" si="19">SUM(I132:I134)*0.0075</f>
        <v>1037.835</v>
      </c>
      <c r="J148" s="397">
        <f t="shared" si="19"/>
        <v>1870.4099999999999</v>
      </c>
      <c r="K148" s="397">
        <f t="shared" si="19"/>
        <v>1907.835</v>
      </c>
      <c r="L148" s="247"/>
    </row>
    <row r="149" spans="1:12">
      <c r="A149" s="206">
        <v>99</v>
      </c>
      <c r="B149" s="36"/>
      <c r="C149" s="85" t="s">
        <v>283</v>
      </c>
      <c r="D149" s="9"/>
      <c r="E149" s="18"/>
      <c r="F149" s="19"/>
      <c r="G149" s="365"/>
      <c r="H149" s="397"/>
      <c r="I149" s="397"/>
      <c r="J149" s="397"/>
      <c r="K149" s="366"/>
      <c r="L149" s="247"/>
    </row>
    <row r="150" spans="1:12">
      <c r="A150" s="206">
        <v>100</v>
      </c>
      <c r="B150" s="36"/>
      <c r="C150" s="85"/>
      <c r="D150" s="9"/>
      <c r="E150" s="18"/>
      <c r="F150" s="19"/>
      <c r="G150" s="365"/>
      <c r="H150" s="397"/>
      <c r="I150" s="397"/>
      <c r="J150" s="397"/>
      <c r="K150" s="366"/>
      <c r="L150" s="247"/>
    </row>
    <row r="151" spans="1:12">
      <c r="A151" s="206">
        <v>101</v>
      </c>
      <c r="B151" s="36"/>
      <c r="C151" s="85"/>
      <c r="D151" s="9"/>
      <c r="E151" s="18"/>
      <c r="F151" s="19"/>
      <c r="G151" s="365"/>
      <c r="H151" s="397"/>
      <c r="I151" s="397"/>
      <c r="J151" s="397"/>
      <c r="K151" s="366"/>
      <c r="L151" s="247"/>
    </row>
    <row r="152" spans="1:12" ht="15.75" customHeight="1">
      <c r="A152" s="206">
        <v>102</v>
      </c>
      <c r="B152" s="83"/>
      <c r="E152" s="14"/>
      <c r="F152" s="15"/>
      <c r="G152" s="380"/>
      <c r="H152" s="405"/>
      <c r="I152" s="405"/>
      <c r="J152" s="405"/>
      <c r="K152" s="432"/>
      <c r="L152" s="262"/>
    </row>
    <row r="153" spans="1:12" ht="15" thickBot="1">
      <c r="A153" s="207">
        <v>103</v>
      </c>
      <c r="B153" s="87" t="s">
        <v>19</v>
      </c>
      <c r="C153" s="51"/>
      <c r="D153" s="51"/>
      <c r="E153" s="49"/>
      <c r="F153" s="50"/>
      <c r="G153" s="384">
        <f>SUM(G132:G152)</f>
        <v>107443.2</v>
      </c>
      <c r="H153" s="408">
        <f>SUM(H132:H152)</f>
        <v>151465.71599999999</v>
      </c>
      <c r="I153" s="408">
        <f>SUM(I132:I152)</f>
        <v>168125.93639999998</v>
      </c>
      <c r="J153" s="408">
        <f>SUM(J132:J152)</f>
        <v>295769.39439999993</v>
      </c>
      <c r="K153" s="428">
        <f>SUM(K132:K152)</f>
        <v>301327.25640000001</v>
      </c>
      <c r="L153" s="250"/>
    </row>
    <row r="154" spans="1:12" ht="15" thickBot="1">
      <c r="A154" s="210">
        <v>104</v>
      </c>
      <c r="B154" s="75" t="s">
        <v>24</v>
      </c>
      <c r="C154" s="76"/>
      <c r="D154" s="76"/>
      <c r="E154" s="45"/>
      <c r="F154" s="46"/>
      <c r="G154" s="387">
        <f>G100+G127+G153</f>
        <v>1637401.0075999999</v>
      </c>
      <c r="H154" s="410">
        <f>H100+H127+H153</f>
        <v>2179146.2689081812</v>
      </c>
      <c r="I154" s="410">
        <f>I100+I127+I153</f>
        <v>2860555.3727621245</v>
      </c>
      <c r="J154" s="410">
        <f>J100+J127+J153</f>
        <v>3611987.3701177603</v>
      </c>
      <c r="K154" s="431">
        <f>K100+K127+K153</f>
        <v>3752313.9895216622</v>
      </c>
      <c r="L154" s="266"/>
    </row>
    <row r="155" spans="1:12" ht="4.5" customHeight="1">
      <c r="A155" s="211"/>
      <c r="B155" s="35"/>
      <c r="C155" s="12"/>
      <c r="D155" s="12"/>
      <c r="E155" s="16"/>
      <c r="F155" s="17"/>
      <c r="G155" s="388"/>
      <c r="H155" s="411"/>
      <c r="I155" s="411"/>
      <c r="J155" s="411"/>
      <c r="K155" s="436"/>
      <c r="L155" s="267"/>
    </row>
    <row r="156" spans="1:12" s="4" customFormat="1">
      <c r="A156" s="206"/>
      <c r="B156" s="52" t="s">
        <v>22</v>
      </c>
      <c r="C156" s="53"/>
      <c r="D156" s="53"/>
      <c r="E156" s="61"/>
      <c r="F156" s="62"/>
      <c r="G156" s="383"/>
      <c r="H156" s="400"/>
      <c r="I156" s="400"/>
      <c r="J156" s="400"/>
      <c r="K156" s="425"/>
      <c r="L156" s="246"/>
    </row>
    <row r="157" spans="1:12" s="4" customFormat="1">
      <c r="A157" s="206"/>
      <c r="B157" s="88" t="s">
        <v>23</v>
      </c>
      <c r="C157" s="53"/>
      <c r="D157" s="53"/>
      <c r="E157" s="61"/>
      <c r="F157" s="62"/>
      <c r="G157" s="383"/>
      <c r="H157" s="400"/>
      <c r="I157" s="400"/>
      <c r="J157" s="400"/>
      <c r="K157" s="425"/>
      <c r="L157" s="246"/>
    </row>
    <row r="158" spans="1:12">
      <c r="A158" s="206">
        <v>105</v>
      </c>
      <c r="B158" s="36"/>
      <c r="C158" s="9" t="s">
        <v>281</v>
      </c>
      <c r="D158" s="9"/>
      <c r="E158" s="18" t="s">
        <v>221</v>
      </c>
      <c r="F158" s="19" t="s">
        <v>240</v>
      </c>
      <c r="G158" s="368">
        <f>'Yr 1 Operating Statement of Act'!G158</f>
        <v>52000</v>
      </c>
      <c r="H158" s="397">
        <f>'Assumptions Expenses'!F13*'Assumptions Expenses'!E13</f>
        <v>53299.999999999993</v>
      </c>
      <c r="I158" s="397">
        <f>'Assumptions Expenses'!H13*'Assumptions Expenses'!G13</f>
        <v>54632.499999999985</v>
      </c>
      <c r="J158" s="397">
        <f>'Assumptions Expenses'!J13*'Assumptions Expenses'!I13</f>
        <v>55998.312499999978</v>
      </c>
      <c r="K158" s="397">
        <f>'Assumptions Expenses'!L13*'Assumptions Expenses'!K13</f>
        <v>57398.270312499975</v>
      </c>
      <c r="L158" s="247"/>
    </row>
    <row r="159" spans="1:12">
      <c r="A159" s="206">
        <v>106</v>
      </c>
      <c r="B159" s="36"/>
      <c r="C159" s="9" t="s">
        <v>8</v>
      </c>
      <c r="D159" s="9"/>
      <c r="E159" s="18" t="s">
        <v>221</v>
      </c>
      <c r="F159" s="19" t="s">
        <v>240</v>
      </c>
      <c r="G159" s="368">
        <f>'Yr 1 Operating Statement of Act'!G159</f>
        <v>55000</v>
      </c>
      <c r="H159" s="397">
        <f>'Assumptions Expenses'!F14*'Assumptions Expenses'!E14</f>
        <v>56374.999999999993</v>
      </c>
      <c r="I159" s="397">
        <f>'Assumptions Expenses'!H14*'Assumptions Expenses'!G14</f>
        <v>57784.374999999985</v>
      </c>
      <c r="J159" s="397">
        <f>'Assumptions Expenses'!J14*'Assumptions Expenses'!I14</f>
        <v>59228.984374999978</v>
      </c>
      <c r="K159" s="397">
        <f>'Assumptions Expenses'!L14*'Assumptions Expenses'!K14</f>
        <v>60709.708984374971</v>
      </c>
      <c r="L159" s="247"/>
    </row>
    <row r="160" spans="1:12">
      <c r="A160" s="206">
        <v>107</v>
      </c>
      <c r="B160" s="36"/>
      <c r="C160" s="9" t="s">
        <v>282</v>
      </c>
      <c r="D160" s="9"/>
      <c r="E160" s="18" t="s">
        <v>221</v>
      </c>
      <c r="F160" s="19" t="s">
        <v>240</v>
      </c>
      <c r="G160" s="368">
        <f>'Yr 1 Operating Statement of Act'!G160</f>
        <v>56106</v>
      </c>
      <c r="H160" s="397">
        <f>'Assumptions Expenses'!F15*'Assumptions Expenses'!E15</f>
        <v>57508.649999999994</v>
      </c>
      <c r="I160" s="397">
        <f>'Assumptions Expenses'!H15*'Assumptions Expenses'!G15</f>
        <v>58946.366249999992</v>
      </c>
      <c r="J160" s="397">
        <f>'Assumptions Expenses'!J15*'Assumptions Expenses'!I15</f>
        <v>60420.025406249988</v>
      </c>
      <c r="K160" s="397">
        <f>'Assumptions Expenses'!L15*'Assumptions Expenses'!K15</f>
        <v>61930.526041406236</v>
      </c>
      <c r="L160" s="247"/>
    </row>
    <row r="161" spans="1:12">
      <c r="A161" s="206">
        <v>108</v>
      </c>
      <c r="B161" s="36"/>
      <c r="C161" s="9" t="s">
        <v>120</v>
      </c>
      <c r="D161" s="9"/>
      <c r="E161" s="18" t="s">
        <v>221</v>
      </c>
      <c r="F161" s="19" t="s">
        <v>240</v>
      </c>
      <c r="G161" s="368">
        <f>'Yr 1 Operating Statement of Act'!G161</f>
        <v>71812</v>
      </c>
      <c r="H161" s="397">
        <f>'Assumptions Expenses'!F16*'Assumptions Expenses'!E16</f>
        <v>73607.299999999988</v>
      </c>
      <c r="I161" s="397">
        <f>'Assumptions Expenses'!H16*'Assumptions Expenses'!G16</f>
        <v>75447.482499999984</v>
      </c>
      <c r="J161" s="397">
        <f>'Assumptions Expenses'!J16*'Assumptions Expenses'!I16</f>
        <v>77333.66956249997</v>
      </c>
      <c r="K161" s="397">
        <f>'Assumptions Expenses'!L16*'Assumptions Expenses'!K16</f>
        <v>79267.011301562467</v>
      </c>
      <c r="L161" s="247"/>
    </row>
    <row r="162" spans="1:12">
      <c r="A162" s="206">
        <v>109</v>
      </c>
      <c r="B162" s="36"/>
      <c r="C162" s="9" t="s">
        <v>295</v>
      </c>
      <c r="D162" s="9"/>
      <c r="E162" s="18" t="s">
        <v>97</v>
      </c>
      <c r="F162" s="19" t="s">
        <v>240</v>
      </c>
      <c r="G162" s="368">
        <f>'Yr 1 Operating Statement of Act'!G162</f>
        <v>15536</v>
      </c>
      <c r="H162" s="397">
        <f>SUM('Assumptions Expenses'!F13:F16)*(3884*1.04)</f>
        <v>16157.44</v>
      </c>
      <c r="I162" s="397">
        <f>SUM('Assumptions Expenses'!H13:H16)*(3884*1.06)</f>
        <v>16468.16</v>
      </c>
      <c r="J162" s="397">
        <f>SUM('Assumptions Expenses'!J13:J16)*(3884*1.08)</f>
        <v>16778.88</v>
      </c>
      <c r="K162" s="366">
        <f>SUM('Assumptions Expenses'!L13:L16)*(3884*1.1)</f>
        <v>17089.600000000002</v>
      </c>
      <c r="L162" s="247"/>
    </row>
    <row r="163" spans="1:12">
      <c r="A163" s="206">
        <v>110</v>
      </c>
      <c r="B163" s="36"/>
      <c r="C163" s="9" t="s">
        <v>98</v>
      </c>
      <c r="D163" s="9"/>
      <c r="E163" s="18" t="s">
        <v>99</v>
      </c>
      <c r="F163" s="19" t="s">
        <v>240</v>
      </c>
      <c r="G163" s="368">
        <f>'Yr 1 Operating Statement of Act'!G163</f>
        <v>14564.915999999999</v>
      </c>
      <c r="H163" s="397">
        <f>SUM(H158:H161)*0.062</f>
        <v>14929.038899999998</v>
      </c>
      <c r="I163" s="397">
        <f>SUM(I158:I161)*0.062</f>
        <v>15302.264872499996</v>
      </c>
      <c r="J163" s="397">
        <f>SUM(J158:J161)*0.062</f>
        <v>15684.821494312495</v>
      </c>
      <c r="K163" s="397">
        <f>SUM(K158:K161)*0.062</f>
        <v>16076.942031670305</v>
      </c>
      <c r="L163" s="247"/>
    </row>
    <row r="164" spans="1:12">
      <c r="A164" s="206">
        <v>111</v>
      </c>
      <c r="B164" s="36"/>
      <c r="C164" s="9" t="s">
        <v>100</v>
      </c>
      <c r="D164" s="9"/>
      <c r="E164" s="18" t="s">
        <v>101</v>
      </c>
      <c r="F164" s="19" t="s">
        <v>240</v>
      </c>
      <c r="G164" s="368">
        <f>'Yr 1 Operating Statement of Act'!G164</f>
        <v>3406.3110000000001</v>
      </c>
      <c r="H164" s="397">
        <f>SUM(H158:H161)*0.0145</f>
        <v>3491.4687749999994</v>
      </c>
      <c r="I164" s="397">
        <f t="shared" ref="I164:K164" si="20">SUM(I158:I161)*0.0145</f>
        <v>3578.7554943749992</v>
      </c>
      <c r="J164" s="397">
        <f t="shared" si="20"/>
        <v>3668.2243817343738</v>
      </c>
      <c r="K164" s="397">
        <f t="shared" si="20"/>
        <v>3759.9299912777328</v>
      </c>
      <c r="L164" s="247"/>
    </row>
    <row r="165" spans="1:12">
      <c r="A165" s="206">
        <v>112</v>
      </c>
      <c r="B165" s="36"/>
      <c r="C165" s="9" t="s">
        <v>219</v>
      </c>
      <c r="D165" s="9"/>
      <c r="E165" s="18" t="s">
        <v>220</v>
      </c>
      <c r="F165" s="19" t="s">
        <v>240</v>
      </c>
      <c r="G165" s="368">
        <f>'Yr 1 Operating Statement of Act'!G165</f>
        <v>4698.3599999999997</v>
      </c>
      <c r="H165" s="397">
        <f>SUM(H158:H161)*0.02</f>
        <v>4815.8189999999995</v>
      </c>
      <c r="I165" s="397">
        <f>SUM(I158:I161)*0.03</f>
        <v>7404.3217124999983</v>
      </c>
      <c r="J165" s="397">
        <f>SUM(J158:J161)*0.03</f>
        <v>7589.429755312497</v>
      </c>
      <c r="K165" s="397">
        <f>SUM(K158:K161)*0.04</f>
        <v>10372.220665593746</v>
      </c>
      <c r="L165" s="247"/>
    </row>
    <row r="166" spans="1:12">
      <c r="A166" s="206">
        <v>113</v>
      </c>
      <c r="B166" s="36"/>
      <c r="C166" s="9" t="s">
        <v>102</v>
      </c>
      <c r="D166" s="9"/>
      <c r="E166" s="18" t="s">
        <v>103</v>
      </c>
      <c r="F166" s="19" t="s">
        <v>240</v>
      </c>
      <c r="G166" s="368">
        <f>'Yr 1 Operating Statement of Act'!G166</f>
        <v>2302.1963999999998</v>
      </c>
      <c r="H166" s="397">
        <f>SUM(H158:H161)*0.0098</f>
        <v>2359.7513099999996</v>
      </c>
      <c r="I166" s="397">
        <f t="shared" ref="I166:K166" si="21">SUM(I158:I161)*0.0098</f>
        <v>2418.7450927499995</v>
      </c>
      <c r="J166" s="397">
        <f t="shared" si="21"/>
        <v>2479.2137200687489</v>
      </c>
      <c r="K166" s="397">
        <f t="shared" si="21"/>
        <v>2541.1940630704676</v>
      </c>
      <c r="L166" s="247"/>
    </row>
    <row r="167" spans="1:12">
      <c r="A167" s="206">
        <v>114</v>
      </c>
      <c r="B167" s="36"/>
      <c r="C167" s="9" t="s">
        <v>104</v>
      </c>
      <c r="D167" s="9"/>
      <c r="E167" s="18" t="s">
        <v>105</v>
      </c>
      <c r="F167" s="19" t="s">
        <v>240</v>
      </c>
      <c r="G167" s="368">
        <f>'Yr 1 Operating Statement of Act'!G167</f>
        <v>1761.885</v>
      </c>
      <c r="H167" s="397">
        <f>SUM(H158:H161)*0.0075</f>
        <v>1805.9321249999996</v>
      </c>
      <c r="I167" s="397">
        <f t="shared" ref="I167:K167" si="22">SUM(I158:I161)*0.0075</f>
        <v>1851.0804281249996</v>
      </c>
      <c r="J167" s="397">
        <f t="shared" si="22"/>
        <v>1897.3574388281243</v>
      </c>
      <c r="K167" s="397">
        <f t="shared" si="22"/>
        <v>1944.7913747988273</v>
      </c>
      <c r="L167" s="247"/>
    </row>
    <row r="168" spans="1:12">
      <c r="A168" s="206">
        <v>115</v>
      </c>
      <c r="B168" s="36"/>
      <c r="C168" s="85" t="s">
        <v>283</v>
      </c>
      <c r="D168" s="9"/>
      <c r="E168" s="18"/>
      <c r="F168" s="19"/>
      <c r="G168" s="365"/>
      <c r="H168" s="397"/>
      <c r="I168" s="397"/>
      <c r="J168" s="397"/>
      <c r="K168" s="366"/>
      <c r="L168" s="247"/>
    </row>
    <row r="169" spans="1:12">
      <c r="A169" s="206">
        <v>116</v>
      </c>
      <c r="B169" s="36"/>
      <c r="C169" s="85"/>
      <c r="D169" s="9"/>
      <c r="E169" s="18"/>
      <c r="F169" s="19"/>
      <c r="G169" s="365"/>
      <c r="H169" s="397"/>
      <c r="I169" s="397"/>
      <c r="J169" s="397"/>
      <c r="K169" s="366"/>
      <c r="L169" s="247"/>
    </row>
    <row r="170" spans="1:12">
      <c r="A170" s="206">
        <v>117</v>
      </c>
      <c r="B170" s="83"/>
      <c r="C170" s="84"/>
      <c r="D170" s="13"/>
      <c r="E170" s="14"/>
      <c r="F170" s="15"/>
      <c r="G170" s="380"/>
      <c r="H170" s="405"/>
      <c r="I170" s="405"/>
      <c r="J170" s="405"/>
      <c r="K170" s="432"/>
      <c r="L170" s="262"/>
    </row>
    <row r="171" spans="1:12">
      <c r="A171" s="207">
        <v>118</v>
      </c>
      <c r="B171" s="87" t="s">
        <v>121</v>
      </c>
      <c r="C171" s="51"/>
      <c r="D171" s="51"/>
      <c r="E171" s="49"/>
      <c r="F171" s="50"/>
      <c r="G171" s="384">
        <f>SUM(G158:G170)</f>
        <v>277187.66840000002</v>
      </c>
      <c r="H171" s="408">
        <f>SUM(H158:H170)</f>
        <v>284350.40010999999</v>
      </c>
      <c r="I171" s="408">
        <f>SUM(I158:I170)</f>
        <v>293834.05135024991</v>
      </c>
      <c r="J171" s="408">
        <f>SUM(J158:J170)</f>
        <v>301078.91863400611</v>
      </c>
      <c r="K171" s="428">
        <f>SUM(K158:K170)</f>
        <v>311090.19476625469</v>
      </c>
      <c r="L171" s="250"/>
    </row>
    <row r="172" spans="1:12" ht="9" customHeight="1">
      <c r="A172" s="211"/>
      <c r="B172" s="35"/>
      <c r="C172" s="12"/>
      <c r="D172" s="12"/>
      <c r="E172" s="16"/>
      <c r="F172" s="17"/>
      <c r="G172" s="388"/>
      <c r="H172" s="411"/>
      <c r="I172" s="411"/>
      <c r="J172" s="411"/>
      <c r="K172" s="436"/>
      <c r="L172" s="267"/>
    </row>
    <row r="173" spans="1:12" s="4" customFormat="1">
      <c r="A173" s="206"/>
      <c r="B173" s="88" t="s">
        <v>25</v>
      </c>
      <c r="C173" s="53"/>
      <c r="D173" s="53"/>
      <c r="E173" s="61"/>
      <c r="F173" s="62"/>
      <c r="G173" s="383"/>
      <c r="H173" s="400"/>
      <c r="I173" s="400"/>
      <c r="J173" s="400"/>
      <c r="K173" s="425"/>
      <c r="L173" s="246"/>
    </row>
    <row r="174" spans="1:12">
      <c r="A174" s="206">
        <v>119</v>
      </c>
      <c r="B174" s="36"/>
      <c r="C174" s="9" t="s">
        <v>241</v>
      </c>
      <c r="D174" s="9"/>
      <c r="E174" s="18">
        <v>111</v>
      </c>
      <c r="F174" s="19" t="s">
        <v>265</v>
      </c>
      <c r="G174" s="368">
        <f>'Yr 1 Operating Statement of Act'!G174</f>
        <v>87000</v>
      </c>
      <c r="H174" s="397">
        <f>'Assumptions Expenses'!F19*'Assumptions Expenses'!E19</f>
        <v>89174.999999999985</v>
      </c>
      <c r="I174" s="396">
        <f>'Assumptions Expenses'!H19*'Assumptions Expenses'!G19</f>
        <v>91404.374999999971</v>
      </c>
      <c r="J174" s="397">
        <f>'Assumptions Expenses'!J19*'Assumptions Expenses'!I19</f>
        <v>93689.484374999956</v>
      </c>
      <c r="K174" s="366">
        <f>'Assumptions Expenses'!L19*'Assumptions Expenses'!K19</f>
        <v>96031.721484374953</v>
      </c>
      <c r="L174" s="247"/>
    </row>
    <row r="175" spans="1:12">
      <c r="A175" s="206">
        <v>120</v>
      </c>
      <c r="B175" s="36"/>
      <c r="C175" s="9" t="s">
        <v>122</v>
      </c>
      <c r="D175" s="9"/>
      <c r="E175" s="18" t="s">
        <v>221</v>
      </c>
      <c r="F175" s="19" t="s">
        <v>265</v>
      </c>
      <c r="G175" s="368">
        <f>'Yr 1 Operating Statement of Act'!G175</f>
        <v>105000</v>
      </c>
      <c r="H175" s="397">
        <f>$G175/Assumptions!$B$26*Assumptions!C$26</f>
        <v>138409.09090909091</v>
      </c>
      <c r="I175" s="397">
        <f>$G175/Assumptions!$B$26*Assumptions!D$26</f>
        <v>183750</v>
      </c>
      <c r="J175" s="397">
        <f>$G175/Assumptions!$B$26*Assumptions!E$26</f>
        <v>231477.27272727274</v>
      </c>
      <c r="K175" s="397">
        <f>$G175/Assumptions!$B$26*Assumptions!F$26</f>
        <v>231477.27272727274</v>
      </c>
      <c r="L175" s="247"/>
    </row>
    <row r="176" spans="1:12">
      <c r="A176" s="206">
        <v>121</v>
      </c>
      <c r="B176" s="36"/>
      <c r="C176" s="9" t="s">
        <v>266</v>
      </c>
      <c r="D176" s="9"/>
      <c r="E176" s="18" t="s">
        <v>224</v>
      </c>
      <c r="F176" s="19" t="s">
        <v>265</v>
      </c>
      <c r="G176" s="368">
        <f>'Yr 1 Operating Statement of Act'!G176</f>
        <v>0</v>
      </c>
      <c r="H176" s="397">
        <f>$G176/Assumptions!$B$26*Assumptions!C$26</f>
        <v>0</v>
      </c>
      <c r="I176" s="397">
        <f>$G176/Assumptions!$B$26*Assumptions!D$26</f>
        <v>0</v>
      </c>
      <c r="J176" s="397">
        <f>$G176/Assumptions!$B$26*Assumptions!E$26</f>
        <v>0</v>
      </c>
      <c r="K176" s="397">
        <f>$G176/Assumptions!$B$26*Assumptions!F$26</f>
        <v>0</v>
      </c>
      <c r="L176" s="247"/>
    </row>
    <row r="177" spans="1:12">
      <c r="A177" s="206">
        <v>122</v>
      </c>
      <c r="B177" s="36"/>
      <c r="C177" s="9" t="s">
        <v>123</v>
      </c>
      <c r="D177" s="9"/>
      <c r="E177" s="18" t="s">
        <v>221</v>
      </c>
      <c r="F177" s="19">
        <v>2230</v>
      </c>
      <c r="G177" s="368">
        <f>'Yr 1 Operating Statement of Act'!G177</f>
        <v>0</v>
      </c>
      <c r="H177" s="397">
        <f>$G177/Assumptions!$B$26*Assumptions!C$26</f>
        <v>0</v>
      </c>
      <c r="I177" s="397">
        <f>$G177/Assumptions!$B$26*Assumptions!D$26</f>
        <v>0</v>
      </c>
      <c r="J177" s="397">
        <f>$G177/Assumptions!$B$26*Assumptions!E$26</f>
        <v>0</v>
      </c>
      <c r="K177" s="397">
        <f>$G177/Assumptions!$B$26*Assumptions!F$26</f>
        <v>0</v>
      </c>
      <c r="L177" s="247"/>
    </row>
    <row r="178" spans="1:12">
      <c r="A178" s="206">
        <v>123</v>
      </c>
      <c r="B178" s="36"/>
      <c r="C178" s="9" t="s">
        <v>124</v>
      </c>
      <c r="D178" s="9"/>
      <c r="E178" s="18" t="s">
        <v>221</v>
      </c>
      <c r="F178" s="19" t="s">
        <v>265</v>
      </c>
      <c r="G178" s="368">
        <f>'Yr 1 Operating Statement of Act'!G178</f>
        <v>14500</v>
      </c>
      <c r="H178" s="397">
        <f>$G178/Assumptions!$B$18*Assumptions!C$18</f>
        <v>19333.333333333336</v>
      </c>
      <c r="I178" s="397">
        <f>$G178/Assumptions!$B$18*Assumptions!D$18</f>
        <v>24166.666666666668</v>
      </c>
      <c r="J178" s="397">
        <f>$G178/Assumptions!$B$18*Assumptions!E$18</f>
        <v>29000</v>
      </c>
      <c r="K178" s="397">
        <f>$G178/Assumptions!$B$18*Assumptions!F$18</f>
        <v>29000</v>
      </c>
      <c r="L178" s="247"/>
    </row>
    <row r="179" spans="1:12">
      <c r="A179" s="206">
        <v>124</v>
      </c>
      <c r="B179" s="36"/>
      <c r="C179" s="9" t="s">
        <v>295</v>
      </c>
      <c r="D179" s="9"/>
      <c r="E179" s="18" t="s">
        <v>97</v>
      </c>
      <c r="F179" s="19" t="s">
        <v>265</v>
      </c>
      <c r="G179" s="368">
        <f>'Yr 1 Operating Statement of Act'!G179</f>
        <v>11652</v>
      </c>
      <c r="H179" s="397">
        <f>SUM('Assumptions Expenses'!F19:F20)*(3884*1.02)</f>
        <v>11885.04</v>
      </c>
      <c r="I179" s="397">
        <f>SUM('Assumptions Expenses'!H19:H20)*(3884*1.04)</f>
        <v>12118.08</v>
      </c>
      <c r="J179" s="397">
        <f>SUM('Assumptions Expenses'!J19:J20)*(3884*1.06)</f>
        <v>12351.119999999999</v>
      </c>
      <c r="K179" s="366">
        <f>SUM('Assumptions Expenses'!L19:L20)*(3884*1.08)</f>
        <v>12584.16</v>
      </c>
      <c r="L179" s="247"/>
    </row>
    <row r="180" spans="1:12">
      <c r="A180" s="206">
        <v>125</v>
      </c>
      <c r="B180" s="36"/>
      <c r="C180" s="9" t="s">
        <v>98</v>
      </c>
      <c r="D180" s="9"/>
      <c r="E180" s="18" t="s">
        <v>99</v>
      </c>
      <c r="F180" s="19" t="s">
        <v>265</v>
      </c>
      <c r="G180" s="368">
        <f>'Yr 1 Operating Statement of Act'!G180</f>
        <v>11904</v>
      </c>
      <c r="H180" s="397">
        <f>SUM(H174:H175)*0.062</f>
        <v>14110.213636363635</v>
      </c>
      <c r="I180" s="397">
        <f>SUM(I174:I175)*0.062</f>
        <v>17059.571250000001</v>
      </c>
      <c r="J180" s="397">
        <f>SUM(J174:J175)*0.062</f>
        <v>20160.338940340909</v>
      </c>
      <c r="K180" s="397">
        <f>SUM(K174:K175)*0.062</f>
        <v>20305.557641122155</v>
      </c>
      <c r="L180" s="247"/>
    </row>
    <row r="181" spans="1:12">
      <c r="A181" s="206">
        <v>126</v>
      </c>
      <c r="B181" s="36"/>
      <c r="C181" s="9" t="s">
        <v>100</v>
      </c>
      <c r="D181" s="9"/>
      <c r="E181" s="18" t="s">
        <v>101</v>
      </c>
      <c r="F181" s="19" t="s">
        <v>265</v>
      </c>
      <c r="G181" s="368">
        <f>'Yr 1 Operating Statement of Act'!G181</f>
        <v>2784</v>
      </c>
      <c r="H181" s="397">
        <f>SUM(H174:H175)*0.0145</f>
        <v>3299.9693181818179</v>
      </c>
      <c r="I181" s="397">
        <f t="shared" ref="I181:K181" si="23">SUM(I174:I175)*0.0145</f>
        <v>3989.7384375000001</v>
      </c>
      <c r="J181" s="397">
        <f t="shared" si="23"/>
        <v>4714.9179779829547</v>
      </c>
      <c r="K181" s="397">
        <f t="shared" si="23"/>
        <v>4748.8804160688915</v>
      </c>
      <c r="L181" s="247"/>
    </row>
    <row r="182" spans="1:12">
      <c r="A182" s="206">
        <v>127</v>
      </c>
      <c r="B182" s="36"/>
      <c r="C182" s="9" t="s">
        <v>219</v>
      </c>
      <c r="D182" s="9"/>
      <c r="E182" s="18" t="s">
        <v>220</v>
      </c>
      <c r="F182" s="19" t="s">
        <v>265</v>
      </c>
      <c r="G182" s="368">
        <f>'Yr 1 Operating Statement of Act'!G182</f>
        <v>3840</v>
      </c>
      <c r="H182" s="397">
        <f>SUM(H174:H175)*0.02</f>
        <v>4551.681818181818</v>
      </c>
      <c r="I182" s="397">
        <f>SUM(I174:I175)*0.03</f>
        <v>8254.6312500000004</v>
      </c>
      <c r="J182" s="397">
        <f>SUM(J174:J175)*0.03</f>
        <v>9755.002713068181</v>
      </c>
      <c r="K182" s="397">
        <f>SUM(K174:K175)*0.04</f>
        <v>13100.359768465907</v>
      </c>
      <c r="L182" s="247"/>
    </row>
    <row r="183" spans="1:12">
      <c r="A183" s="206">
        <v>128</v>
      </c>
      <c r="B183" s="36"/>
      <c r="C183" s="9" t="s">
        <v>102</v>
      </c>
      <c r="D183" s="9"/>
      <c r="E183" s="18" t="s">
        <v>103</v>
      </c>
      <c r="F183" s="19" t="s">
        <v>265</v>
      </c>
      <c r="G183" s="368">
        <f>'Yr 1 Operating Statement of Act'!G183</f>
        <v>1881.6</v>
      </c>
      <c r="H183" s="397">
        <f>SUM(H174:H175)*0.0098</f>
        <v>2230.3240909090905</v>
      </c>
      <c r="I183" s="397">
        <f t="shared" ref="I183:K183" si="24">SUM(I174:I175)*0.0098</f>
        <v>2696.5128749999999</v>
      </c>
      <c r="J183" s="397">
        <f t="shared" si="24"/>
        <v>3186.6342196022724</v>
      </c>
      <c r="K183" s="397">
        <f t="shared" si="24"/>
        <v>3209.5881432741471</v>
      </c>
      <c r="L183" s="247"/>
    </row>
    <row r="184" spans="1:12">
      <c r="A184" s="206">
        <v>129</v>
      </c>
      <c r="B184" s="36"/>
      <c r="C184" s="9" t="s">
        <v>104</v>
      </c>
      <c r="D184" s="9"/>
      <c r="E184" s="18" t="s">
        <v>105</v>
      </c>
      <c r="F184" s="19" t="s">
        <v>265</v>
      </c>
      <c r="G184" s="368">
        <f>'Yr 1 Operating Statement of Act'!G184</f>
        <v>1440</v>
      </c>
      <c r="H184" s="397">
        <f>SUM(H174:H175)*0.0075</f>
        <v>1706.8806818181815</v>
      </c>
      <c r="I184" s="397">
        <f t="shared" ref="I184:K184" si="25">SUM(I174:I175)*0.0075</f>
        <v>2063.6578125000001</v>
      </c>
      <c r="J184" s="397">
        <f t="shared" si="25"/>
        <v>2438.7506782670453</v>
      </c>
      <c r="K184" s="397">
        <f t="shared" si="25"/>
        <v>2456.3174565873574</v>
      </c>
      <c r="L184" s="247"/>
    </row>
    <row r="185" spans="1:12">
      <c r="A185" s="206">
        <v>130</v>
      </c>
      <c r="B185" s="36"/>
      <c r="C185" s="85" t="s">
        <v>283</v>
      </c>
      <c r="D185" s="9"/>
      <c r="E185" s="18"/>
      <c r="F185" s="19"/>
      <c r="G185" s="365"/>
      <c r="H185" s="397"/>
      <c r="I185" s="397"/>
      <c r="J185" s="397"/>
      <c r="K185" s="366"/>
      <c r="L185" s="247"/>
    </row>
    <row r="186" spans="1:12">
      <c r="A186" s="206">
        <v>131</v>
      </c>
      <c r="B186" s="36"/>
      <c r="C186" s="85"/>
      <c r="D186" s="9"/>
      <c r="E186" s="18"/>
      <c r="F186" s="19"/>
      <c r="G186" s="365"/>
      <c r="H186" s="397"/>
      <c r="I186" s="397"/>
      <c r="J186" s="397"/>
      <c r="K186" s="366"/>
      <c r="L186" s="247"/>
    </row>
    <row r="187" spans="1:12">
      <c r="A187" s="206">
        <v>132</v>
      </c>
      <c r="B187" s="83"/>
      <c r="D187" s="13"/>
      <c r="E187" s="14"/>
      <c r="F187" s="15"/>
      <c r="G187" s="380"/>
      <c r="H187" s="405"/>
      <c r="I187" s="405"/>
      <c r="J187" s="405"/>
      <c r="K187" s="432"/>
      <c r="L187" s="262"/>
    </row>
    <row r="188" spans="1:12">
      <c r="A188" s="207">
        <v>133</v>
      </c>
      <c r="B188" s="87" t="s">
        <v>125</v>
      </c>
      <c r="C188" s="51"/>
      <c r="D188" s="51"/>
      <c r="E188" s="49"/>
      <c r="F188" s="50"/>
      <c r="G188" s="384">
        <f>SUM(G174:G187)</f>
        <v>240001.6</v>
      </c>
      <c r="H188" s="408">
        <f>SUM(H174:H187)</f>
        <v>284701.53378787875</v>
      </c>
      <c r="I188" s="408">
        <f>SUM(I174:I187)</f>
        <v>345503.23329166672</v>
      </c>
      <c r="J188" s="408">
        <f>SUM(J174:J187)</f>
        <v>406773.52163153404</v>
      </c>
      <c r="K188" s="428">
        <f>SUM(K174:K187)</f>
        <v>412913.85763716605</v>
      </c>
      <c r="L188" s="250"/>
    </row>
    <row r="189" spans="1:12" ht="4.5" customHeight="1">
      <c r="A189" s="211"/>
      <c r="B189" s="35"/>
      <c r="C189" s="12"/>
      <c r="D189" s="12"/>
      <c r="E189" s="16"/>
      <c r="F189" s="17"/>
      <c r="G189" s="388"/>
      <c r="H189" s="411"/>
      <c r="I189" s="411"/>
      <c r="J189" s="411"/>
      <c r="K189" s="436"/>
      <c r="L189" s="267"/>
    </row>
    <row r="190" spans="1:12" s="4" customFormat="1">
      <c r="A190" s="206"/>
      <c r="B190" s="88" t="s">
        <v>292</v>
      </c>
      <c r="C190" s="53"/>
      <c r="D190" s="53"/>
      <c r="E190" s="61"/>
      <c r="F190" s="62"/>
      <c r="G190" s="383"/>
      <c r="H190" s="400"/>
      <c r="I190" s="400"/>
      <c r="J190" s="400"/>
      <c r="K190" s="425"/>
      <c r="L190" s="246"/>
    </row>
    <row r="191" spans="1:12">
      <c r="A191" s="206"/>
      <c r="B191" s="25"/>
      <c r="C191" s="11" t="s">
        <v>1</v>
      </c>
      <c r="D191" s="11"/>
      <c r="E191" s="61"/>
      <c r="F191" s="62"/>
      <c r="G191" s="383"/>
      <c r="H191" s="400"/>
      <c r="I191" s="400"/>
      <c r="J191" s="400"/>
      <c r="K191" s="425"/>
      <c r="L191" s="246"/>
    </row>
    <row r="192" spans="1:12">
      <c r="A192" s="206">
        <v>134</v>
      </c>
      <c r="B192" s="36"/>
      <c r="C192" s="9"/>
      <c r="D192" s="9" t="s">
        <v>127</v>
      </c>
      <c r="E192" s="18">
        <v>332</v>
      </c>
      <c r="F192" s="19" t="s">
        <v>225</v>
      </c>
      <c r="G192" s="368">
        <f>'Yr 1 Operating Statement of Act'!G192</f>
        <v>10000</v>
      </c>
      <c r="H192" s="397">
        <f>$G192/Assumptions!$B$26*Assumptions!C$26</f>
        <v>13181.818181818182</v>
      </c>
      <c r="I192" s="397">
        <f>$G192/Assumptions!$B$26*Assumptions!D$26</f>
        <v>17500</v>
      </c>
      <c r="J192" s="397">
        <f>$G192/Assumptions!$B$26*Assumptions!E$26</f>
        <v>22045.454545454548</v>
      </c>
      <c r="K192" s="397">
        <f>$G192/Assumptions!$B$26*Assumptions!F$26</f>
        <v>22045.454545454548</v>
      </c>
      <c r="L192" s="247"/>
    </row>
    <row r="193" spans="1:12">
      <c r="A193" s="206">
        <v>135</v>
      </c>
      <c r="B193" s="36"/>
      <c r="C193" s="9"/>
      <c r="D193" s="9" t="s">
        <v>83</v>
      </c>
      <c r="E193" s="18" t="s">
        <v>84</v>
      </c>
      <c r="F193" s="19" t="s">
        <v>126</v>
      </c>
      <c r="G193" s="368">
        <f>'Yr 1 Operating Statement of Act'!G193</f>
        <v>120000</v>
      </c>
      <c r="H193" s="397">
        <f>$G193/Assumptions!$B$17*Assumptions!C$17</f>
        <v>160000</v>
      </c>
      <c r="I193" s="397">
        <f>$G193/Assumptions!$B$17*Assumptions!D$17</f>
        <v>200000</v>
      </c>
      <c r="J193" s="397">
        <f>$G193/Assumptions!$B$17*Assumptions!E$17</f>
        <v>240000</v>
      </c>
      <c r="K193" s="397">
        <f>$G193/Assumptions!$B$17*Assumptions!F$17</f>
        <v>240000</v>
      </c>
      <c r="L193" s="247"/>
    </row>
    <row r="194" spans="1:12">
      <c r="A194" s="206">
        <v>136</v>
      </c>
      <c r="B194" s="36"/>
      <c r="C194" s="9"/>
      <c r="D194" s="9" t="s">
        <v>128</v>
      </c>
      <c r="E194" s="18" t="s">
        <v>129</v>
      </c>
      <c r="F194" s="19" t="s">
        <v>126</v>
      </c>
      <c r="G194" s="368">
        <f>'Yr 1 Operating Statement of Act'!G194</f>
        <v>10000</v>
      </c>
      <c r="H194" s="397">
        <f>$G194/Assumptions!$B$17*Assumptions!C$17</f>
        <v>13333.333333333334</v>
      </c>
      <c r="I194" s="397">
        <f>$G194/Assumptions!$B$17*Assumptions!D$17</f>
        <v>16666.666666666668</v>
      </c>
      <c r="J194" s="397">
        <f>$G194/Assumptions!$B$17*Assumptions!E$17</f>
        <v>20000</v>
      </c>
      <c r="K194" s="397">
        <f>$G194/Assumptions!$B$17*Assumptions!F$17</f>
        <v>20000</v>
      </c>
      <c r="L194" s="247"/>
    </row>
    <row r="195" spans="1:12">
      <c r="A195" s="206">
        <v>137</v>
      </c>
      <c r="B195" s="36"/>
      <c r="C195" s="9"/>
      <c r="D195" s="9" t="s">
        <v>130</v>
      </c>
      <c r="E195" s="18" t="s">
        <v>223</v>
      </c>
      <c r="F195" s="19" t="s">
        <v>225</v>
      </c>
      <c r="G195" s="368">
        <f>'Yr 1 Operating Statement of Act'!G195</f>
        <v>35000</v>
      </c>
      <c r="H195" s="397">
        <f>$G195/Assumptions!$B$17*Assumptions!C$17</f>
        <v>46666.666666666672</v>
      </c>
      <c r="I195" s="397">
        <f>$G195/Assumptions!$B$17*Assumptions!D$17</f>
        <v>58333.333333333336</v>
      </c>
      <c r="J195" s="397">
        <f>$G195/Assumptions!$B$17*Assumptions!E$17</f>
        <v>70000</v>
      </c>
      <c r="K195" s="397">
        <f>$G195/Assumptions!$B$17*Assumptions!F$17</f>
        <v>70000</v>
      </c>
      <c r="L195" s="247"/>
    </row>
    <row r="196" spans="1:12">
      <c r="A196" s="206">
        <v>138</v>
      </c>
      <c r="B196" s="36"/>
      <c r="C196" s="9"/>
      <c r="D196" s="9" t="s">
        <v>131</v>
      </c>
      <c r="E196" s="18" t="s">
        <v>132</v>
      </c>
      <c r="F196" s="19" t="s">
        <v>126</v>
      </c>
      <c r="G196" s="368">
        <f>'Yr 1 Operating Statement of Act'!G196</f>
        <v>0</v>
      </c>
      <c r="H196" s="397"/>
      <c r="I196" s="397"/>
      <c r="J196" s="397"/>
      <c r="K196" s="366"/>
      <c r="L196" s="247"/>
    </row>
    <row r="197" spans="1:12">
      <c r="A197" s="206">
        <v>139</v>
      </c>
      <c r="B197" s="36"/>
      <c r="C197" s="9"/>
      <c r="D197" s="9" t="s">
        <v>5</v>
      </c>
      <c r="E197" s="18">
        <v>730</v>
      </c>
      <c r="F197" s="19" t="s">
        <v>225</v>
      </c>
      <c r="G197" s="368">
        <f>'Yr 1 Operating Statement of Act'!G197</f>
        <v>0</v>
      </c>
      <c r="H197" s="397"/>
      <c r="I197" s="397"/>
      <c r="J197" s="397"/>
      <c r="K197" s="366"/>
      <c r="L197" s="247"/>
    </row>
    <row r="198" spans="1:12">
      <c r="A198" s="206">
        <v>140</v>
      </c>
      <c r="B198" s="36"/>
      <c r="C198" s="9"/>
      <c r="D198" s="9" t="s">
        <v>133</v>
      </c>
      <c r="E198" s="18" t="s">
        <v>116</v>
      </c>
      <c r="F198" s="19" t="s">
        <v>126</v>
      </c>
      <c r="G198" s="368">
        <f>'Yr 1 Operating Statement of Act'!G198</f>
        <v>2500</v>
      </c>
      <c r="H198" s="397">
        <f>G198</f>
        <v>2500</v>
      </c>
      <c r="I198" s="397">
        <f t="shared" ref="I198" si="26">H198</f>
        <v>2500</v>
      </c>
      <c r="J198" s="397">
        <f t="shared" ref="J198" si="27">I198</f>
        <v>2500</v>
      </c>
      <c r="K198" s="397">
        <f t="shared" ref="K198" si="28">J198</f>
        <v>2500</v>
      </c>
      <c r="L198" s="247"/>
    </row>
    <row r="199" spans="1:12">
      <c r="A199" s="206">
        <v>140</v>
      </c>
      <c r="B199" s="36"/>
      <c r="C199" s="9"/>
      <c r="D199" s="9" t="s">
        <v>521</v>
      </c>
      <c r="E199" s="18" t="s">
        <v>116</v>
      </c>
      <c r="F199" s="19" t="s">
        <v>126</v>
      </c>
      <c r="G199" s="368">
        <f>'Yr 1 Operating Statement of Act'!G199</f>
        <v>59013.688233716479</v>
      </c>
      <c r="H199" s="397">
        <f>SUM(H11,H25,H26)*0.02</f>
        <v>79419.825844955296</v>
      </c>
      <c r="I199" s="397">
        <f t="shared" ref="I199:K199" si="29">SUM(I11,I25,I26)*0.02</f>
        <v>98614.245256194117</v>
      </c>
      <c r="J199" s="397">
        <f t="shared" si="29"/>
        <v>119691.59606743295</v>
      </c>
      <c r="K199" s="397">
        <f t="shared" si="29"/>
        <v>119691.59606743295</v>
      </c>
      <c r="L199" s="247"/>
    </row>
    <row r="200" spans="1:12">
      <c r="A200" s="206">
        <v>141</v>
      </c>
      <c r="B200" s="36"/>
      <c r="C200" s="9"/>
      <c r="D200" s="9" t="s">
        <v>134</v>
      </c>
      <c r="E200" s="18" t="s">
        <v>135</v>
      </c>
      <c r="F200" s="19" t="s">
        <v>126</v>
      </c>
      <c r="G200" s="368">
        <f>'Yr 1 Operating Statement of Act'!G200</f>
        <v>0</v>
      </c>
      <c r="H200" s="397"/>
      <c r="I200" s="397"/>
      <c r="J200" s="397"/>
      <c r="K200" s="366"/>
      <c r="L200" s="247"/>
    </row>
    <row r="201" spans="1:12">
      <c r="A201" s="206">
        <v>142</v>
      </c>
      <c r="B201" s="36"/>
      <c r="C201" s="85" t="s">
        <v>283</v>
      </c>
      <c r="D201" s="9"/>
      <c r="E201" s="18"/>
      <c r="F201" s="19"/>
      <c r="G201" s="365"/>
      <c r="H201" s="397"/>
      <c r="I201" s="397"/>
      <c r="J201" s="397"/>
      <c r="K201" s="366"/>
      <c r="L201" s="247"/>
    </row>
    <row r="202" spans="1:12">
      <c r="A202" s="206">
        <v>143</v>
      </c>
      <c r="B202" s="107"/>
      <c r="C202" s="108"/>
      <c r="D202" s="109"/>
      <c r="E202" s="18"/>
      <c r="F202" s="19"/>
      <c r="G202" s="365"/>
      <c r="H202" s="397"/>
      <c r="I202" s="397"/>
      <c r="J202" s="397"/>
      <c r="K202" s="366"/>
      <c r="L202" s="247"/>
    </row>
    <row r="203" spans="1:12">
      <c r="A203" s="206">
        <v>144</v>
      </c>
      <c r="B203" s="36"/>
      <c r="C203" s="9"/>
      <c r="D203" s="9"/>
      <c r="E203" s="18"/>
      <c r="F203" s="19"/>
      <c r="G203" s="365"/>
      <c r="H203" s="397"/>
      <c r="I203" s="397"/>
      <c r="J203" s="397"/>
      <c r="K203" s="366"/>
      <c r="L203" s="247"/>
    </row>
    <row r="204" spans="1:12">
      <c r="A204" s="207">
        <v>145</v>
      </c>
      <c r="B204" s="87" t="s">
        <v>136</v>
      </c>
      <c r="C204" s="51"/>
      <c r="D204" s="51"/>
      <c r="E204" s="49"/>
      <c r="F204" s="50"/>
      <c r="G204" s="384">
        <f>SUM(G192:G203)</f>
        <v>236513.68823371647</v>
      </c>
      <c r="H204" s="408">
        <f>SUM(H192:H203)</f>
        <v>315101.64402677346</v>
      </c>
      <c r="I204" s="408">
        <f>SUM(I192:I203)</f>
        <v>393614.24525619415</v>
      </c>
      <c r="J204" s="408">
        <f>SUM(J192:J203)</f>
        <v>474237.05061288754</v>
      </c>
      <c r="K204" s="428">
        <f>SUM(K192:K203)</f>
        <v>474237.05061288754</v>
      </c>
      <c r="L204" s="250"/>
    </row>
    <row r="205" spans="1:12">
      <c r="A205" s="206"/>
      <c r="B205" s="36"/>
      <c r="C205" s="9"/>
      <c r="D205" s="9"/>
      <c r="E205" s="18"/>
      <c r="F205" s="19"/>
      <c r="G205" s="365"/>
      <c r="H205" s="397"/>
      <c r="I205" s="397"/>
      <c r="J205" s="397"/>
      <c r="K205" s="366"/>
      <c r="L205" s="247"/>
    </row>
    <row r="206" spans="1:12" s="4" customFormat="1">
      <c r="A206" s="206"/>
      <c r="B206" s="88" t="s">
        <v>26</v>
      </c>
      <c r="C206" s="53"/>
      <c r="D206" s="53"/>
      <c r="E206" s="61"/>
      <c r="F206" s="62"/>
      <c r="G206" s="383"/>
      <c r="H206" s="400"/>
      <c r="I206" s="400"/>
      <c r="J206" s="400"/>
      <c r="K206" s="425"/>
      <c r="L206" s="246"/>
    </row>
    <row r="207" spans="1:12">
      <c r="A207" s="206"/>
      <c r="B207" s="36"/>
      <c r="C207" s="9" t="s">
        <v>76</v>
      </c>
      <c r="D207" s="9"/>
      <c r="E207" s="61"/>
      <c r="F207" s="62"/>
      <c r="G207" s="383"/>
      <c r="H207" s="400"/>
      <c r="I207" s="400"/>
      <c r="J207" s="400"/>
      <c r="K207" s="425"/>
      <c r="L207" s="246"/>
    </row>
    <row r="208" spans="1:12">
      <c r="A208" s="206">
        <v>146</v>
      </c>
      <c r="B208" s="36"/>
      <c r="C208" s="9"/>
      <c r="D208" s="9" t="s">
        <v>137</v>
      </c>
      <c r="E208" s="18" t="s">
        <v>118</v>
      </c>
      <c r="F208" s="19" t="s">
        <v>138</v>
      </c>
      <c r="G208" s="368">
        <f>'Yr 1 Operating Statement of Act'!G208</f>
        <v>140000</v>
      </c>
      <c r="H208" s="397">
        <f>'Assumptions Expenses'!F23*'Assumptions Expenses'!E23</f>
        <v>143500</v>
      </c>
      <c r="I208" s="397">
        <f>'Assumptions Expenses'!H23*'Assumptions Expenses'!G23</f>
        <v>147087.5</v>
      </c>
      <c r="J208" s="397">
        <f>'Assumptions Expenses'!J23*'Assumptions Expenses'!I23</f>
        <v>150764.6875</v>
      </c>
      <c r="K208" s="397">
        <f>'Assumptions Expenses'!K23*'Assumptions Expenses'!L23</f>
        <v>154533.8046875</v>
      </c>
      <c r="L208" s="247"/>
    </row>
    <row r="209" spans="1:12">
      <c r="A209" s="206">
        <v>147</v>
      </c>
      <c r="B209" s="36"/>
      <c r="C209" s="9"/>
      <c r="D209" s="9" t="s">
        <v>139</v>
      </c>
      <c r="E209" s="18" t="s">
        <v>118</v>
      </c>
      <c r="F209" s="19" t="s">
        <v>140</v>
      </c>
      <c r="G209" s="368">
        <f>'Yr 1 Operating Statement of Act'!G209</f>
        <v>210000</v>
      </c>
      <c r="H209" s="397">
        <f>'Assumptions Expenses'!F24*'Assumptions Expenses'!E24</f>
        <v>215250</v>
      </c>
      <c r="I209" s="397">
        <f>'Assumptions Expenses'!H24*'Assumptions Expenses'!G24</f>
        <v>220631.25</v>
      </c>
      <c r="J209" s="397">
        <f>'Assumptions Expenses'!J24*'Assumptions Expenses'!I24</f>
        <v>226147.03125</v>
      </c>
      <c r="K209" s="366">
        <f>'Assumptions Expenses'!L24*'Assumptions Expenses'!K24</f>
        <v>231800.70703125</v>
      </c>
      <c r="L209" s="247"/>
    </row>
    <row r="210" spans="1:12">
      <c r="A210" s="206">
        <v>148</v>
      </c>
      <c r="B210" s="36"/>
      <c r="C210" s="9"/>
      <c r="D210" s="9" t="s">
        <v>141</v>
      </c>
      <c r="E210" s="18" t="s">
        <v>119</v>
      </c>
      <c r="F210" s="19" t="s">
        <v>142</v>
      </c>
      <c r="G210" s="368">
        <f>'Yr 1 Operating Statement of Act'!G210</f>
        <v>35703</v>
      </c>
      <c r="H210" s="397">
        <f>'Assumptions Expenses'!F25*'Assumptions Expenses'!E25</f>
        <v>73191.149999999994</v>
      </c>
      <c r="I210" s="397">
        <f>'Assumptions Expenses'!H25*'Assumptions Expenses'!G25</f>
        <v>75020.928749999992</v>
      </c>
      <c r="J210" s="397">
        <f>'Assumptions Expenses'!J25*'Assumptions Expenses'!I25</f>
        <v>76896.451968749985</v>
      </c>
      <c r="K210" s="366">
        <f>'Assumptions Expenses'!L25*'Assumptions Expenses'!K25</f>
        <v>78818.863267968729</v>
      </c>
      <c r="L210" s="247"/>
    </row>
    <row r="211" spans="1:12">
      <c r="A211" s="206">
        <v>149</v>
      </c>
      <c r="B211" s="36"/>
      <c r="C211" s="9" t="s">
        <v>83</v>
      </c>
      <c r="D211" s="9"/>
      <c r="E211" s="18" t="s">
        <v>84</v>
      </c>
      <c r="F211" s="19" t="s">
        <v>142</v>
      </c>
      <c r="G211" s="368">
        <f>'Yr 1 Operating Statement of Act'!G211</f>
        <v>15000</v>
      </c>
      <c r="H211" s="397">
        <f>$G211/Assumptions!$B$26*Assumptions!C$26</f>
        <v>19772.727272727276</v>
      </c>
      <c r="I211" s="397">
        <f>$G211/Assumptions!$B$26*Assumptions!D$26</f>
        <v>26250.000000000004</v>
      </c>
      <c r="J211" s="397">
        <f>$G211/Assumptions!$B$26*Assumptions!E$26</f>
        <v>33068.181818181823</v>
      </c>
      <c r="K211" s="397">
        <f>$G211/Assumptions!$B$26*Assumptions!F$26</f>
        <v>33068.181818181823</v>
      </c>
      <c r="L211" s="247"/>
    </row>
    <row r="212" spans="1:12">
      <c r="A212" s="206">
        <v>150</v>
      </c>
      <c r="B212" s="36"/>
      <c r="C212" s="9" t="s">
        <v>85</v>
      </c>
      <c r="D212" s="9"/>
      <c r="E212" s="18" t="s">
        <v>86</v>
      </c>
      <c r="F212" s="19" t="s">
        <v>142</v>
      </c>
      <c r="G212" s="368">
        <f>'Yr 1 Operating Statement of Act'!G212</f>
        <v>0</v>
      </c>
      <c r="H212" s="397">
        <f>$G212/Assumptions!$B$26*Assumptions!C$26</f>
        <v>0</v>
      </c>
      <c r="I212" s="397">
        <f>$G212/Assumptions!$B$26*Assumptions!D$26</f>
        <v>0</v>
      </c>
      <c r="J212" s="397">
        <f>$G212/Assumptions!$B$26*Assumptions!E$26</f>
        <v>0</v>
      </c>
      <c r="K212" s="397">
        <f>$G212/Assumptions!$B$26*Assumptions!F$26</f>
        <v>0</v>
      </c>
      <c r="L212" s="247"/>
    </row>
    <row r="213" spans="1:12">
      <c r="A213" s="206">
        <v>151</v>
      </c>
      <c r="B213" s="36"/>
      <c r="C213" s="9" t="s">
        <v>111</v>
      </c>
      <c r="D213" s="9"/>
      <c r="E213" s="18" t="s">
        <v>112</v>
      </c>
      <c r="F213" s="19" t="s">
        <v>142</v>
      </c>
      <c r="G213" s="368">
        <f>'Yr 1 Operating Statement of Act'!G213</f>
        <v>0</v>
      </c>
      <c r="H213" s="397">
        <f>$G213/Assumptions!$B$26*Assumptions!C$26</f>
        <v>0</v>
      </c>
      <c r="I213" s="397">
        <f>$G213/Assumptions!$B$26*Assumptions!D$26</f>
        <v>0</v>
      </c>
      <c r="J213" s="397">
        <f>$G213/Assumptions!$B$26*Assumptions!E$26</f>
        <v>0</v>
      </c>
      <c r="K213" s="397">
        <f>$G213/Assumptions!$B$26*Assumptions!F$26</f>
        <v>0</v>
      </c>
      <c r="L213" s="247"/>
    </row>
    <row r="214" spans="1:12">
      <c r="A214" s="206">
        <v>152</v>
      </c>
      <c r="B214" s="36"/>
      <c r="C214" s="9" t="s">
        <v>143</v>
      </c>
      <c r="D214" s="9"/>
      <c r="E214" s="18" t="s">
        <v>144</v>
      </c>
      <c r="F214" s="19" t="s">
        <v>142</v>
      </c>
      <c r="G214" s="368">
        <f>'Yr 1 Operating Statement of Act'!G214</f>
        <v>2600</v>
      </c>
      <c r="H214" s="397">
        <f>$G214/Assumptions!$B$26*Assumptions!C$26</f>
        <v>3427.2727272727275</v>
      </c>
      <c r="I214" s="397">
        <f>$G214/Assumptions!$B$26*Assumptions!D$26</f>
        <v>4550</v>
      </c>
      <c r="J214" s="397">
        <f>$G214/Assumptions!$B$26*Assumptions!E$26</f>
        <v>5731.818181818182</v>
      </c>
      <c r="K214" s="397">
        <f>$G214/Assumptions!$B$26*Assumptions!F$26</f>
        <v>5731.818181818182</v>
      </c>
      <c r="L214" s="247"/>
    </row>
    <row r="215" spans="1:12">
      <c r="A215" s="206">
        <v>153</v>
      </c>
      <c r="B215" s="36"/>
      <c r="C215" s="9" t="s">
        <v>87</v>
      </c>
      <c r="D215" s="9"/>
      <c r="E215" s="18" t="s">
        <v>88</v>
      </c>
      <c r="F215" s="19" t="s">
        <v>142</v>
      </c>
      <c r="G215" s="368">
        <f>'Yr 1 Operating Statement of Act'!G215</f>
        <v>6500</v>
      </c>
      <c r="H215" s="397">
        <f>$G215/Assumptions!$B$26*Assumptions!C$26</f>
        <v>8568.181818181818</v>
      </c>
      <c r="I215" s="397">
        <f>$G215/Assumptions!$B$26*Assumptions!D$26</f>
        <v>11375</v>
      </c>
      <c r="J215" s="397">
        <f>$G215/Assumptions!$B$26*Assumptions!E$26</f>
        <v>14329.545454545454</v>
      </c>
      <c r="K215" s="397">
        <f>$G215/Assumptions!$B$26*Assumptions!F$26</f>
        <v>14329.545454545454</v>
      </c>
      <c r="L215" s="247"/>
    </row>
    <row r="216" spans="1:12">
      <c r="A216" s="206">
        <v>154</v>
      </c>
      <c r="B216" s="36"/>
      <c r="C216" s="9" t="s">
        <v>110</v>
      </c>
      <c r="D216" s="9"/>
      <c r="E216" s="18" t="s">
        <v>90</v>
      </c>
      <c r="F216" s="19" t="s">
        <v>142</v>
      </c>
      <c r="G216" s="368">
        <f>'Yr 1 Operating Statement of Act'!G216</f>
        <v>10000</v>
      </c>
      <c r="H216" s="397">
        <f>$G216/Assumptions!$B$26*Assumptions!C$26</f>
        <v>13181.818181818182</v>
      </c>
      <c r="I216" s="397">
        <f>$G216/Assumptions!$B$26*Assumptions!D$26</f>
        <v>17500</v>
      </c>
      <c r="J216" s="397">
        <f>$G216/Assumptions!$B$26*Assumptions!E$26</f>
        <v>22045.454545454548</v>
      </c>
      <c r="K216" s="397">
        <f>$G216/Assumptions!$B$26*Assumptions!F$26</f>
        <v>22045.454545454548</v>
      </c>
      <c r="L216" s="247"/>
    </row>
    <row r="217" spans="1:12">
      <c r="A217" s="206">
        <v>155</v>
      </c>
      <c r="B217" s="36"/>
      <c r="C217" s="9" t="s">
        <v>242</v>
      </c>
      <c r="D217" s="9"/>
      <c r="E217" s="18" t="s">
        <v>243</v>
      </c>
      <c r="F217" s="19" t="s">
        <v>142</v>
      </c>
      <c r="G217" s="368">
        <f>'Yr 1 Operating Statement of Act'!G217</f>
        <v>3500</v>
      </c>
      <c r="H217" s="397">
        <f>$G217/Assumptions!$B$26*Assumptions!C$26</f>
        <v>4613.636363636364</v>
      </c>
      <c r="I217" s="397">
        <f>$G217/Assumptions!$B$26*Assumptions!D$26</f>
        <v>6125</v>
      </c>
      <c r="J217" s="397">
        <f>$G217/Assumptions!$B$26*Assumptions!E$26</f>
        <v>7715.909090909091</v>
      </c>
      <c r="K217" s="397">
        <f>$G217/Assumptions!$B$26*Assumptions!F$26</f>
        <v>7715.909090909091</v>
      </c>
      <c r="L217" s="247"/>
    </row>
    <row r="218" spans="1:12">
      <c r="A218" s="206">
        <v>156</v>
      </c>
      <c r="B218" s="36"/>
      <c r="C218" s="9" t="s">
        <v>296</v>
      </c>
      <c r="D218" s="9"/>
      <c r="E218" s="18" t="s">
        <v>116</v>
      </c>
      <c r="F218" s="19" t="s">
        <v>142</v>
      </c>
      <c r="G218" s="368">
        <f>'Yr 1 Operating Statement of Act'!G218</f>
        <v>500</v>
      </c>
      <c r="H218" s="397">
        <f>$G218/Assumptions!$B$26*Assumptions!C$26</f>
        <v>659.09090909090912</v>
      </c>
      <c r="I218" s="397">
        <f>$G218/Assumptions!$B$26*Assumptions!D$26</f>
        <v>875</v>
      </c>
      <c r="J218" s="397">
        <f>$G218/Assumptions!$B$26*Assumptions!E$26</f>
        <v>1102.2727272727273</v>
      </c>
      <c r="K218" s="397">
        <f>$G218/Assumptions!$B$26*Assumptions!F$26</f>
        <v>1102.2727272727273</v>
      </c>
      <c r="L218" s="247"/>
    </row>
    <row r="219" spans="1:12">
      <c r="A219" s="206">
        <v>157</v>
      </c>
      <c r="B219" s="36"/>
      <c r="C219" s="9" t="s">
        <v>95</v>
      </c>
      <c r="D219" s="9"/>
      <c r="E219" s="18" t="s">
        <v>96</v>
      </c>
      <c r="F219" s="19" t="s">
        <v>142</v>
      </c>
      <c r="G219" s="368">
        <f>'Yr 1 Operating Statement of Act'!G219</f>
        <v>7500</v>
      </c>
      <c r="H219" s="397">
        <f>$G219/Assumptions!$B$26*Assumptions!C$26</f>
        <v>9886.3636363636379</v>
      </c>
      <c r="I219" s="397">
        <f>$G219/Assumptions!$B$26*Assumptions!D$26</f>
        <v>13125.000000000002</v>
      </c>
      <c r="J219" s="397">
        <f>$G219/Assumptions!$B$26*Assumptions!E$26</f>
        <v>16534.090909090912</v>
      </c>
      <c r="K219" s="397">
        <f>$G219/Assumptions!$B$26*Assumptions!F$26</f>
        <v>16534.090909090912</v>
      </c>
      <c r="L219" s="247"/>
    </row>
    <row r="220" spans="1:12">
      <c r="A220" s="206">
        <v>158</v>
      </c>
      <c r="B220" s="36"/>
      <c r="C220" s="9" t="s">
        <v>295</v>
      </c>
      <c r="D220" s="9"/>
      <c r="E220" s="18" t="s">
        <v>97</v>
      </c>
      <c r="F220" s="19" t="s">
        <v>11</v>
      </c>
      <c r="G220" s="368">
        <f>'Yr 1 Operating Statement of Act'!G220</f>
        <v>19420</v>
      </c>
      <c r="H220" s="397">
        <f>SUM('Assumptions Expenses'!J23:J25)*(3884*1.02)</f>
        <v>23770.080000000002</v>
      </c>
      <c r="I220" s="397">
        <f>SUM('Assumptions Expenses'!H23:H25)*(3884*1.04)</f>
        <v>24236.16</v>
      </c>
      <c r="J220" s="397">
        <f>SUM('Assumptions Expenses'!J23:J25)*(3884*1.06)</f>
        <v>24702.239999999998</v>
      </c>
      <c r="K220" s="366">
        <f>SUM('Assumptions Expenses'!L23:L25)*(3884*1.08)</f>
        <v>25168.32</v>
      </c>
      <c r="L220" s="247"/>
    </row>
    <row r="221" spans="1:12">
      <c r="A221" s="206">
        <v>159</v>
      </c>
      <c r="B221" s="36"/>
      <c r="C221" s="9" t="s">
        <v>98</v>
      </c>
      <c r="D221" s="9"/>
      <c r="E221" s="18" t="s">
        <v>99</v>
      </c>
      <c r="F221" s="19" t="s">
        <v>11</v>
      </c>
      <c r="G221" s="368">
        <f>'Yr 1 Operating Statement of Act'!G221</f>
        <v>23913.585999999999</v>
      </c>
      <c r="H221" s="397">
        <f>SUM(H208:H210)*0.062</f>
        <v>26780.351300000002</v>
      </c>
      <c r="I221" s="397">
        <f>SUM(I208:I210)*0.062</f>
        <v>27449.860082499996</v>
      </c>
      <c r="J221" s="397">
        <f t="shared" ref="J221:K221" si="30">SUM(J208:J210)*0.062</f>
        <v>28136.106584562498</v>
      </c>
      <c r="K221" s="397">
        <f t="shared" si="30"/>
        <v>28839.509249176564</v>
      </c>
      <c r="L221" s="247"/>
    </row>
    <row r="222" spans="1:12">
      <c r="A222" s="206">
        <v>160</v>
      </c>
      <c r="B222" s="36"/>
      <c r="C222" s="9" t="s">
        <v>100</v>
      </c>
      <c r="D222" s="9"/>
      <c r="E222" s="18" t="s">
        <v>101</v>
      </c>
      <c r="F222" s="19" t="s">
        <v>11</v>
      </c>
      <c r="G222" s="368">
        <f>'Yr 1 Operating Statement of Act'!G222</f>
        <v>5592.6935000000003</v>
      </c>
      <c r="H222" s="397">
        <f>SUM(H208:H210)*0.0145</f>
        <v>6263.1466750000009</v>
      </c>
      <c r="I222" s="397">
        <f t="shared" ref="I222:K222" si="31">SUM(I208:I210)*0.0145</f>
        <v>6419.7253418749997</v>
      </c>
      <c r="J222" s="397">
        <f t="shared" si="31"/>
        <v>6580.2184754218752</v>
      </c>
      <c r="K222" s="397">
        <f t="shared" si="31"/>
        <v>6744.7239373074226</v>
      </c>
      <c r="L222" s="247"/>
    </row>
    <row r="223" spans="1:12">
      <c r="A223" s="206">
        <v>161</v>
      </c>
      <c r="B223" s="36"/>
      <c r="C223" s="9" t="s">
        <v>219</v>
      </c>
      <c r="D223" s="9"/>
      <c r="E223" s="18" t="s">
        <v>220</v>
      </c>
      <c r="F223" s="19" t="s">
        <v>11</v>
      </c>
      <c r="G223" s="368">
        <f>'Yr 1 Operating Statement of Act'!G223</f>
        <v>7714.06</v>
      </c>
      <c r="H223" s="397">
        <f>SUM(H208:H210)*0.02</f>
        <v>8638.8230000000003</v>
      </c>
      <c r="I223" s="397">
        <f>SUM(I208:I210)*0.03</f>
        <v>13282.190362499998</v>
      </c>
      <c r="J223" s="397">
        <f>SUM(J208:J210)*0.03</f>
        <v>13614.245121562499</v>
      </c>
      <c r="K223" s="397">
        <f>SUM(K208:K210)*0.04</f>
        <v>18606.134999468752</v>
      </c>
      <c r="L223" s="247"/>
    </row>
    <row r="224" spans="1:12">
      <c r="A224" s="206">
        <v>162</v>
      </c>
      <c r="B224" s="36"/>
      <c r="C224" s="9" t="s">
        <v>102</v>
      </c>
      <c r="D224" s="9"/>
      <c r="E224" s="18" t="s">
        <v>103</v>
      </c>
      <c r="F224" s="19" t="s">
        <v>11</v>
      </c>
      <c r="G224" s="368">
        <f>'Yr 1 Operating Statement of Act'!G224</f>
        <v>3779.8894</v>
      </c>
      <c r="H224" s="397">
        <f>SUM(H208:H210)*0.0098</f>
        <v>4233.0232699999997</v>
      </c>
      <c r="I224" s="397">
        <f t="shared" ref="I224:K224" si="32">SUM(I208:I210)*0.0098</f>
        <v>4338.8488517499991</v>
      </c>
      <c r="J224" s="397">
        <f t="shared" si="32"/>
        <v>4447.3200730437493</v>
      </c>
      <c r="K224" s="397">
        <f t="shared" si="32"/>
        <v>4558.5030748698437</v>
      </c>
      <c r="L224" s="247"/>
    </row>
    <row r="225" spans="1:12">
      <c r="A225" s="206">
        <v>163</v>
      </c>
      <c r="B225" s="36"/>
      <c r="C225" s="9" t="s">
        <v>104</v>
      </c>
      <c r="D225" s="9"/>
      <c r="E225" s="18" t="s">
        <v>105</v>
      </c>
      <c r="F225" s="19" t="s">
        <v>11</v>
      </c>
      <c r="G225" s="368">
        <f>'Yr 1 Operating Statement of Act'!G225</f>
        <v>2892.7725</v>
      </c>
      <c r="H225" s="397">
        <f>SUM(H208:H210)*0.0075</f>
        <v>3239.5586250000001</v>
      </c>
      <c r="I225" s="397">
        <f t="shared" ref="I225:K225" si="33">SUM(I208:I210)*0.0075</f>
        <v>3320.5475906249994</v>
      </c>
      <c r="J225" s="397">
        <f t="shared" si="33"/>
        <v>3403.5612803906247</v>
      </c>
      <c r="K225" s="397">
        <f t="shared" si="33"/>
        <v>3488.6503124003907</v>
      </c>
      <c r="L225" s="247"/>
    </row>
    <row r="226" spans="1:12">
      <c r="A226" s="206">
        <v>164</v>
      </c>
      <c r="B226" s="36"/>
      <c r="C226" s="85" t="s">
        <v>283</v>
      </c>
      <c r="D226" s="9"/>
      <c r="E226" s="18"/>
      <c r="F226" s="19"/>
      <c r="G226" s="365"/>
      <c r="H226" s="397"/>
      <c r="I226" s="397"/>
      <c r="J226" s="397"/>
      <c r="K226" s="366"/>
      <c r="L226" s="247"/>
    </row>
    <row r="227" spans="1:12">
      <c r="A227" s="206">
        <v>165</v>
      </c>
      <c r="B227" s="36"/>
      <c r="C227" s="85"/>
      <c r="D227" s="9"/>
      <c r="E227" s="18"/>
      <c r="F227" s="19"/>
      <c r="G227" s="365"/>
      <c r="H227" s="397"/>
      <c r="I227" s="397"/>
      <c r="J227" s="397"/>
      <c r="K227" s="366"/>
      <c r="L227" s="247"/>
    </row>
    <row r="228" spans="1:12">
      <c r="A228" s="206">
        <v>166</v>
      </c>
      <c r="B228" s="83"/>
      <c r="D228" s="13"/>
      <c r="E228" s="14"/>
      <c r="F228" s="15"/>
      <c r="G228" s="380"/>
      <c r="H228" s="405"/>
      <c r="I228" s="405"/>
      <c r="J228" s="405"/>
      <c r="K228" s="432"/>
      <c r="L228" s="262"/>
    </row>
    <row r="229" spans="1:12">
      <c r="A229" s="207">
        <v>167</v>
      </c>
      <c r="B229" s="87" t="s">
        <v>145</v>
      </c>
      <c r="C229" s="51"/>
      <c r="D229" s="51"/>
      <c r="E229" s="49"/>
      <c r="F229" s="50"/>
      <c r="G229" s="384">
        <f>SUM(G208:G228)</f>
        <v>494616.00140000001</v>
      </c>
      <c r="H229" s="408">
        <f>SUM(H208:H228)</f>
        <v>564975.2237790908</v>
      </c>
      <c r="I229" s="408">
        <f>SUM(I208:I228)</f>
        <v>601587.01097925007</v>
      </c>
      <c r="J229" s="408">
        <f>SUM(J208:J228)</f>
        <v>635219.13498100382</v>
      </c>
      <c r="K229" s="428">
        <f>SUM(K208:K228)</f>
        <v>653086.48928721447</v>
      </c>
      <c r="L229" s="250"/>
    </row>
    <row r="230" spans="1:12" ht="6.75" customHeight="1">
      <c r="A230" s="211"/>
      <c r="B230" s="35"/>
      <c r="C230" s="12"/>
      <c r="D230" s="12"/>
      <c r="E230" s="16"/>
      <c r="F230" s="17"/>
      <c r="G230" s="388"/>
      <c r="H230" s="411"/>
      <c r="I230" s="411"/>
      <c r="J230" s="411"/>
      <c r="K230" s="436"/>
      <c r="L230" s="267"/>
    </row>
    <row r="231" spans="1:12" s="4" customFormat="1">
      <c r="A231" s="206"/>
      <c r="B231" s="88" t="s">
        <v>27</v>
      </c>
      <c r="C231" s="53"/>
      <c r="D231" s="53"/>
      <c r="E231" s="63"/>
      <c r="F231" s="64"/>
      <c r="G231" s="381"/>
      <c r="H231" s="406"/>
      <c r="I231" s="406"/>
      <c r="J231" s="406"/>
      <c r="K231" s="433"/>
      <c r="L231" s="263"/>
    </row>
    <row r="232" spans="1:12">
      <c r="A232" s="206"/>
      <c r="B232" s="36">
        <v>90</v>
      </c>
      <c r="C232" s="9" t="s">
        <v>146</v>
      </c>
      <c r="D232" s="9"/>
      <c r="E232" s="67"/>
      <c r="F232" s="68"/>
      <c r="G232" s="389"/>
      <c r="H232" s="412"/>
      <c r="I232" s="412"/>
      <c r="J232" s="412"/>
      <c r="K232" s="437"/>
      <c r="L232" s="268"/>
    </row>
    <row r="233" spans="1:12">
      <c r="A233" s="206"/>
      <c r="B233" s="36"/>
      <c r="C233" s="9" t="s">
        <v>147</v>
      </c>
      <c r="D233" s="9"/>
      <c r="E233" s="71"/>
      <c r="F233" s="72"/>
      <c r="G233" s="390"/>
      <c r="H233" s="399"/>
      <c r="I233" s="399"/>
      <c r="J233" s="399"/>
      <c r="K233" s="424"/>
      <c r="L233" s="245"/>
    </row>
    <row r="234" spans="1:12">
      <c r="A234" s="206">
        <v>168</v>
      </c>
      <c r="B234" s="36"/>
      <c r="C234" s="9" t="s">
        <v>182</v>
      </c>
      <c r="D234" s="9" t="s">
        <v>76</v>
      </c>
      <c r="E234" s="18" t="s">
        <v>222</v>
      </c>
      <c r="F234" s="19" t="s">
        <v>244</v>
      </c>
      <c r="G234" s="368">
        <f>'Yr 1 Operating Statement of Act'!G234</f>
        <v>0</v>
      </c>
      <c r="H234" s="397">
        <f>'Assumptions Expenses'!F28*'Assumptions Expenses'!E28</f>
        <v>0</v>
      </c>
      <c r="I234" s="397">
        <f>'Assumptions Expenses'!H28*'Assumptions Expenses'!G28</f>
        <v>0</v>
      </c>
      <c r="J234" s="397">
        <f>'Assumptions Expenses'!J28*'Assumptions Expenses'!I28</f>
        <v>0</v>
      </c>
      <c r="K234" s="366">
        <f>'Assumptions Expenses'!L28*'Assumptions Expenses'!K28</f>
        <v>0</v>
      </c>
      <c r="L234" s="247"/>
    </row>
    <row r="235" spans="1:12">
      <c r="A235" s="206">
        <v>169</v>
      </c>
      <c r="B235" s="36"/>
      <c r="C235" s="9"/>
      <c r="D235" s="9" t="s">
        <v>83</v>
      </c>
      <c r="E235" s="18" t="s">
        <v>84</v>
      </c>
      <c r="F235" s="19" t="s">
        <v>148</v>
      </c>
      <c r="G235" s="368">
        <f>'Yr 1 Operating Statement of Act'!G235</f>
        <v>0</v>
      </c>
      <c r="H235" s="368">
        <f>'Yr 1 Operating Statement of Act'!H235</f>
        <v>0</v>
      </c>
      <c r="I235" s="368">
        <f>'Yr 1 Operating Statement of Act'!I235</f>
        <v>0</v>
      </c>
      <c r="J235" s="368">
        <f>'Yr 1 Operating Statement of Act'!J235</f>
        <v>0</v>
      </c>
      <c r="K235" s="368">
        <f>'Yr 1 Operating Statement of Act'!K235</f>
        <v>0</v>
      </c>
      <c r="L235" s="247"/>
    </row>
    <row r="236" spans="1:12">
      <c r="A236" s="206">
        <v>170</v>
      </c>
      <c r="B236" s="36"/>
      <c r="C236" s="9"/>
      <c r="D236" s="9" t="s">
        <v>297</v>
      </c>
      <c r="E236" s="18" t="s">
        <v>149</v>
      </c>
      <c r="F236" s="19" t="s">
        <v>148</v>
      </c>
      <c r="G236" s="368">
        <f>'Yr 1 Operating Statement of Act'!G236</f>
        <v>0</v>
      </c>
      <c r="H236" s="368">
        <f>'Yr 1 Operating Statement of Act'!H236</f>
        <v>0</v>
      </c>
      <c r="I236" s="368">
        <f>'Yr 1 Operating Statement of Act'!I236</f>
        <v>0</v>
      </c>
      <c r="J236" s="368">
        <f>'Yr 1 Operating Statement of Act'!J236</f>
        <v>0</v>
      </c>
      <c r="K236" s="368">
        <f>'Yr 1 Operating Statement of Act'!K236</f>
        <v>0</v>
      </c>
      <c r="L236" s="247"/>
    </row>
    <row r="237" spans="1:12">
      <c r="A237" s="206">
        <v>171</v>
      </c>
      <c r="B237" s="36"/>
      <c r="C237" s="9"/>
      <c r="D237" s="9" t="s">
        <v>85</v>
      </c>
      <c r="E237" s="18" t="s">
        <v>86</v>
      </c>
      <c r="F237" s="19" t="s">
        <v>148</v>
      </c>
      <c r="G237" s="368">
        <f>'Yr 1 Operating Statement of Act'!G237</f>
        <v>0</v>
      </c>
      <c r="H237" s="368">
        <f>'Yr 1 Operating Statement of Act'!H237</f>
        <v>0</v>
      </c>
      <c r="I237" s="368">
        <f>'Yr 1 Operating Statement of Act'!I237</f>
        <v>0</v>
      </c>
      <c r="J237" s="368">
        <f>'Yr 1 Operating Statement of Act'!J237</f>
        <v>0</v>
      </c>
      <c r="K237" s="368">
        <f>'Yr 1 Operating Statement of Act'!K237</f>
        <v>0</v>
      </c>
      <c r="L237" s="247"/>
    </row>
    <row r="238" spans="1:12">
      <c r="A238" s="206">
        <v>172</v>
      </c>
      <c r="B238" s="36"/>
      <c r="C238" s="9"/>
      <c r="D238" s="9" t="s">
        <v>111</v>
      </c>
      <c r="E238" s="18" t="s">
        <v>112</v>
      </c>
      <c r="F238" s="19" t="s">
        <v>148</v>
      </c>
      <c r="G238" s="368">
        <f>'Yr 1 Operating Statement of Act'!G238</f>
        <v>0</v>
      </c>
      <c r="H238" s="368">
        <f>'Yr 1 Operating Statement of Act'!H238</f>
        <v>0</v>
      </c>
      <c r="I238" s="368">
        <f>'Yr 1 Operating Statement of Act'!I238</f>
        <v>0</v>
      </c>
      <c r="J238" s="368">
        <f>'Yr 1 Operating Statement of Act'!J238</f>
        <v>0</v>
      </c>
      <c r="K238" s="368">
        <f>'Yr 1 Operating Statement of Act'!K238</f>
        <v>0</v>
      </c>
      <c r="L238" s="247"/>
    </row>
    <row r="239" spans="1:12">
      <c r="A239" s="206">
        <v>173</v>
      </c>
      <c r="B239" s="36"/>
      <c r="C239" s="9"/>
      <c r="D239" s="9" t="s">
        <v>150</v>
      </c>
      <c r="E239" s="18" t="s">
        <v>144</v>
      </c>
      <c r="F239" s="19" t="s">
        <v>148</v>
      </c>
      <c r="G239" s="368">
        <f>'Yr 1 Operating Statement of Act'!G239</f>
        <v>1500</v>
      </c>
      <c r="H239" s="397">
        <f>G239*1.04</f>
        <v>1560</v>
      </c>
      <c r="I239" s="397">
        <f t="shared" ref="I239:K239" si="34">H239*1.04</f>
        <v>1622.4</v>
      </c>
      <c r="J239" s="397">
        <f t="shared" si="34"/>
        <v>1687.296</v>
      </c>
      <c r="K239" s="397">
        <f t="shared" si="34"/>
        <v>1754.7878400000002</v>
      </c>
      <c r="L239" s="247"/>
    </row>
    <row r="240" spans="1:12">
      <c r="A240" s="206">
        <v>174</v>
      </c>
      <c r="B240" s="36"/>
      <c r="C240" s="9"/>
      <c r="D240" s="9" t="s">
        <v>131</v>
      </c>
      <c r="E240" s="18" t="s">
        <v>132</v>
      </c>
      <c r="F240" s="19" t="s">
        <v>148</v>
      </c>
      <c r="G240" s="368">
        <f>'Yr 1 Operating Statement of Act'!G240</f>
        <v>0</v>
      </c>
      <c r="H240" s="397"/>
      <c r="I240" s="397"/>
      <c r="J240" s="397"/>
      <c r="K240" s="366"/>
      <c r="L240" s="247"/>
    </row>
    <row r="241" spans="1:12">
      <c r="A241" s="206">
        <v>175</v>
      </c>
      <c r="B241" s="36"/>
      <c r="C241" s="9"/>
      <c r="D241" s="9" t="s">
        <v>87</v>
      </c>
      <c r="E241" s="18" t="s">
        <v>88</v>
      </c>
      <c r="F241" s="19" t="s">
        <v>148</v>
      </c>
      <c r="G241" s="368">
        <f>'Yr 1 Operating Statement of Act'!G241</f>
        <v>500</v>
      </c>
      <c r="H241" s="397">
        <f>$G241/Assumptions!$B$26*Assumptions!C$26</f>
        <v>659.09090909090912</v>
      </c>
      <c r="I241" s="397">
        <f>$G241/Assumptions!$B$26*Assumptions!D$26</f>
        <v>875</v>
      </c>
      <c r="J241" s="397">
        <f>$G241/Assumptions!$B$26*Assumptions!E$26</f>
        <v>1102.2727272727273</v>
      </c>
      <c r="K241" s="397">
        <f>$G241/Assumptions!$B$26*Assumptions!F$26</f>
        <v>1102.2727272727273</v>
      </c>
      <c r="L241" s="247"/>
    </row>
    <row r="242" spans="1:12">
      <c r="A242" s="206">
        <v>176</v>
      </c>
      <c r="B242" s="36"/>
      <c r="C242" s="9"/>
      <c r="D242" s="9" t="s">
        <v>110</v>
      </c>
      <c r="E242" s="18" t="s">
        <v>90</v>
      </c>
      <c r="F242" s="19" t="s">
        <v>148</v>
      </c>
      <c r="G242" s="368">
        <f>'Yr 1 Operating Statement of Act'!G242</f>
        <v>1000</v>
      </c>
      <c r="H242" s="397">
        <f>$G242/Assumptions!$B$26*Assumptions!C$26</f>
        <v>1318.1818181818182</v>
      </c>
      <c r="I242" s="397">
        <f>$G242/Assumptions!$B$26*Assumptions!D$26</f>
        <v>1750</v>
      </c>
      <c r="J242" s="397">
        <f>$G242/Assumptions!$B$26*Assumptions!E$26</f>
        <v>2204.5454545454545</v>
      </c>
      <c r="K242" s="397">
        <f>$G242/Assumptions!$B$26*Assumptions!F$26</f>
        <v>2204.5454545454545</v>
      </c>
      <c r="L242" s="247"/>
    </row>
    <row r="243" spans="1:12">
      <c r="A243" s="206">
        <v>177</v>
      </c>
      <c r="B243" s="36"/>
      <c r="C243" s="9"/>
      <c r="D243" s="9" t="s">
        <v>93</v>
      </c>
      <c r="E243" s="18" t="s">
        <v>94</v>
      </c>
      <c r="F243" s="19" t="s">
        <v>148</v>
      </c>
      <c r="G243" s="368">
        <f>'Yr 1 Operating Statement of Act'!G243</f>
        <v>1000</v>
      </c>
      <c r="H243" s="397">
        <f>$G243/Assumptions!$B$26*Assumptions!C$26</f>
        <v>1318.1818181818182</v>
      </c>
      <c r="I243" s="397">
        <f>$G243/Assumptions!$B$26*Assumptions!D$26</f>
        <v>1750</v>
      </c>
      <c r="J243" s="397">
        <f>$G243/Assumptions!$B$26*Assumptions!E$26</f>
        <v>2204.5454545454545</v>
      </c>
      <c r="K243" s="397">
        <f>$G243/Assumptions!$B$26*Assumptions!F$26</f>
        <v>2204.5454545454545</v>
      </c>
      <c r="L243" s="247"/>
    </row>
    <row r="244" spans="1:12">
      <c r="A244" s="206">
        <v>178</v>
      </c>
      <c r="B244" s="36"/>
      <c r="C244" s="9"/>
      <c r="D244" s="9" t="s">
        <v>151</v>
      </c>
      <c r="E244" s="18" t="s">
        <v>152</v>
      </c>
      <c r="F244" s="19" t="s">
        <v>153</v>
      </c>
      <c r="G244" s="368">
        <f>'Yr 1 Operating Statement of Act'!G244</f>
        <v>0</v>
      </c>
      <c r="H244" s="397">
        <f>G244</f>
        <v>0</v>
      </c>
      <c r="I244" s="397">
        <f t="shared" ref="I244:K244" si="35">H244</f>
        <v>0</v>
      </c>
      <c r="J244" s="397">
        <f t="shared" si="35"/>
        <v>0</v>
      </c>
      <c r="K244" s="397">
        <f t="shared" si="35"/>
        <v>0</v>
      </c>
      <c r="L244" s="247"/>
    </row>
    <row r="245" spans="1:12">
      <c r="A245" s="206">
        <v>179</v>
      </c>
      <c r="B245" s="36"/>
      <c r="C245" s="9"/>
      <c r="D245" s="9" t="s">
        <v>95</v>
      </c>
      <c r="E245" s="18" t="s">
        <v>96</v>
      </c>
      <c r="F245" s="19" t="s">
        <v>148</v>
      </c>
      <c r="G245" s="368">
        <f>'Yr 1 Operating Statement of Act'!G245</f>
        <v>7500</v>
      </c>
      <c r="H245" s="397">
        <f>$G245/Assumptions!$B$17*Assumptions!C$17</f>
        <v>10000</v>
      </c>
      <c r="I245" s="397">
        <f>$G245/Assumptions!$B$17*Assumptions!D$17</f>
        <v>12500</v>
      </c>
      <c r="J245" s="397">
        <f>$G245/Assumptions!$B$17*Assumptions!E$17</f>
        <v>15000</v>
      </c>
      <c r="K245" s="397">
        <f>$G245/Assumptions!$B$17*Assumptions!F$17</f>
        <v>15000</v>
      </c>
      <c r="L245" s="247"/>
    </row>
    <row r="246" spans="1:12">
      <c r="A246" s="206">
        <v>180</v>
      </c>
      <c r="B246" s="36"/>
      <c r="C246" s="9"/>
      <c r="D246" s="9" t="s">
        <v>295</v>
      </c>
      <c r="E246" s="18" t="s">
        <v>97</v>
      </c>
      <c r="F246" s="19" t="s">
        <v>244</v>
      </c>
      <c r="G246" s="368">
        <f>'Yr 1 Operating Statement of Act'!G246</f>
        <v>3884</v>
      </c>
      <c r="H246" s="397">
        <f>'Assumptions Expenses'!F28*3884*1.02</f>
        <v>3961.6800000000003</v>
      </c>
      <c r="I246" s="397">
        <f>'Assumptions Expenses'!H28*3884*1.04</f>
        <v>4039.36</v>
      </c>
      <c r="J246" s="397">
        <f>'Assumptions Expenses'!J28*3884*1.06</f>
        <v>4117.04</v>
      </c>
      <c r="K246" s="366">
        <f>'Assumptions Expenses'!L28*3884*1.08</f>
        <v>4194.72</v>
      </c>
      <c r="L246" s="247"/>
    </row>
    <row r="247" spans="1:12">
      <c r="A247" s="206">
        <v>181</v>
      </c>
      <c r="B247" s="36"/>
      <c r="C247" s="9"/>
      <c r="D247" s="9" t="s">
        <v>98</v>
      </c>
      <c r="E247" s="18" t="s">
        <v>99</v>
      </c>
      <c r="F247" s="19" t="s">
        <v>244</v>
      </c>
      <c r="G247" s="368">
        <f>'Yr 1 Operating Statement of Act'!G247</f>
        <v>0</v>
      </c>
      <c r="H247" s="397">
        <f>SUM(H234:H236)*0.062</f>
        <v>0</v>
      </c>
      <c r="I247" s="397">
        <f t="shared" ref="I247:K247" si="36">SUM(I234:I236)*0.062</f>
        <v>0</v>
      </c>
      <c r="J247" s="397">
        <f t="shared" si="36"/>
        <v>0</v>
      </c>
      <c r="K247" s="397">
        <f t="shared" si="36"/>
        <v>0</v>
      </c>
      <c r="L247" s="247"/>
    </row>
    <row r="248" spans="1:12">
      <c r="A248" s="206">
        <v>182</v>
      </c>
      <c r="B248" s="36"/>
      <c r="C248" s="9"/>
      <c r="D248" s="9" t="s">
        <v>100</v>
      </c>
      <c r="E248" s="18" t="s">
        <v>101</v>
      </c>
      <c r="F248" s="19" t="s">
        <v>244</v>
      </c>
      <c r="G248" s="368">
        <f>'Yr 1 Operating Statement of Act'!G248</f>
        <v>0</v>
      </c>
      <c r="H248" s="397">
        <f>SUM(H234:H236)*0.0145</f>
        <v>0</v>
      </c>
      <c r="I248" s="397">
        <f t="shared" ref="I248:K248" si="37">SUM(I234:I236)*0.0145</f>
        <v>0</v>
      </c>
      <c r="J248" s="397">
        <f t="shared" si="37"/>
        <v>0</v>
      </c>
      <c r="K248" s="397">
        <f t="shared" si="37"/>
        <v>0</v>
      </c>
      <c r="L248" s="247"/>
    </row>
    <row r="249" spans="1:12">
      <c r="A249" s="206">
        <v>183</v>
      </c>
      <c r="B249" s="36"/>
      <c r="C249" s="9"/>
      <c r="D249" s="9" t="s">
        <v>219</v>
      </c>
      <c r="E249" s="18" t="s">
        <v>220</v>
      </c>
      <c r="F249" s="19" t="s">
        <v>244</v>
      </c>
      <c r="G249" s="368">
        <f>'Yr 1 Operating Statement of Act'!G249</f>
        <v>0</v>
      </c>
      <c r="H249" s="397">
        <f>SUM(H234:H236)*0.02</f>
        <v>0</v>
      </c>
      <c r="I249" s="397">
        <f>SUM(I234:I236)*0.03</f>
        <v>0</v>
      </c>
      <c r="J249" s="397">
        <f>SUM(J234:J236)*0.03</f>
        <v>0</v>
      </c>
      <c r="K249" s="397">
        <f>SUM(K234:K236)*0.04</f>
        <v>0</v>
      </c>
      <c r="L249" s="247"/>
    </row>
    <row r="250" spans="1:12">
      <c r="A250" s="206">
        <v>184</v>
      </c>
      <c r="B250" s="36"/>
      <c r="C250" s="9"/>
      <c r="D250" s="9" t="s">
        <v>102</v>
      </c>
      <c r="E250" s="18" t="s">
        <v>103</v>
      </c>
      <c r="F250" s="19" t="s">
        <v>244</v>
      </c>
      <c r="G250" s="368">
        <f>'Yr 1 Operating Statement of Act'!G250</f>
        <v>0</v>
      </c>
      <c r="H250" s="397">
        <f>SUM(H234:H236)*0.0098</f>
        <v>0</v>
      </c>
      <c r="I250" s="397">
        <f t="shared" ref="I250:K250" si="38">SUM(I234:I236)*0.0098</f>
        <v>0</v>
      </c>
      <c r="J250" s="397">
        <f t="shared" si="38"/>
        <v>0</v>
      </c>
      <c r="K250" s="397">
        <f t="shared" si="38"/>
        <v>0</v>
      </c>
      <c r="L250" s="247"/>
    </row>
    <row r="251" spans="1:12">
      <c r="A251" s="206">
        <v>185</v>
      </c>
      <c r="B251" s="36"/>
      <c r="C251" s="9"/>
      <c r="D251" s="9" t="s">
        <v>104</v>
      </c>
      <c r="E251" s="18" t="s">
        <v>105</v>
      </c>
      <c r="F251" s="19" t="s">
        <v>244</v>
      </c>
      <c r="G251" s="368">
        <f>'Yr 1 Operating Statement of Act'!G251</f>
        <v>0</v>
      </c>
      <c r="H251" s="397">
        <f>SUM(H234:H236)*0.0075</f>
        <v>0</v>
      </c>
      <c r="I251" s="397">
        <f t="shared" ref="I251:K251" si="39">SUM(I234:I236)*0.0075</f>
        <v>0</v>
      </c>
      <c r="J251" s="397">
        <f t="shared" si="39"/>
        <v>0</v>
      </c>
      <c r="K251" s="397">
        <f t="shared" si="39"/>
        <v>0</v>
      </c>
      <c r="L251" s="247"/>
    </row>
    <row r="252" spans="1:12">
      <c r="A252" s="206">
        <v>186</v>
      </c>
      <c r="B252" s="36"/>
      <c r="C252" s="85"/>
      <c r="D252" s="9"/>
      <c r="E252" s="18"/>
      <c r="F252" s="19"/>
      <c r="G252" s="365"/>
      <c r="H252" s="397"/>
      <c r="I252" s="397"/>
      <c r="J252" s="397"/>
      <c r="K252" s="366"/>
      <c r="L252" s="247"/>
    </row>
    <row r="253" spans="1:12">
      <c r="A253" s="206">
        <v>187</v>
      </c>
      <c r="B253" s="83"/>
      <c r="D253" s="13"/>
      <c r="E253" s="14"/>
      <c r="F253" s="15"/>
      <c r="G253" s="380"/>
      <c r="H253" s="405"/>
      <c r="I253" s="405"/>
      <c r="J253" s="405"/>
      <c r="K253" s="432"/>
      <c r="L253" s="262"/>
    </row>
    <row r="254" spans="1:12">
      <c r="A254" s="207">
        <v>188</v>
      </c>
      <c r="B254" s="87" t="s">
        <v>154</v>
      </c>
      <c r="C254" s="6"/>
      <c r="D254" s="6"/>
      <c r="E254" s="49"/>
      <c r="F254" s="50"/>
      <c r="G254" s="384">
        <f>SUM(G234:G253)</f>
        <v>15384</v>
      </c>
      <c r="H254" s="408">
        <f>SUM(H234:H253)</f>
        <v>18817.134545454544</v>
      </c>
      <c r="I254" s="408">
        <f>SUM(I234:I253)</f>
        <v>22536.760000000002</v>
      </c>
      <c r="J254" s="408">
        <f>SUM(J234:J253)</f>
        <v>26315.699636363635</v>
      </c>
      <c r="K254" s="428">
        <f>SUM(K234:K253)</f>
        <v>26460.871476363638</v>
      </c>
      <c r="L254" s="250"/>
    </row>
    <row r="255" spans="1:12">
      <c r="A255" s="211"/>
      <c r="B255" s="35"/>
      <c r="C255" s="12"/>
      <c r="D255" s="12"/>
      <c r="E255" s="71"/>
      <c r="F255" s="72"/>
      <c r="G255" s="390"/>
      <c r="H255" s="399"/>
      <c r="I255" s="399"/>
      <c r="J255" s="399"/>
      <c r="K255" s="424"/>
      <c r="L255" s="245"/>
    </row>
    <row r="256" spans="1:12" s="4" customFormat="1">
      <c r="A256" s="206"/>
      <c r="B256" s="88" t="s">
        <v>28</v>
      </c>
      <c r="C256" s="53"/>
      <c r="D256" s="53"/>
      <c r="E256" s="77"/>
      <c r="F256" s="78"/>
      <c r="G256" s="386"/>
      <c r="H256" s="409"/>
      <c r="I256" s="409"/>
      <c r="J256" s="409"/>
      <c r="K256" s="435"/>
      <c r="L256" s="265"/>
    </row>
    <row r="257" spans="1:12">
      <c r="A257" s="206">
        <v>189</v>
      </c>
      <c r="B257" s="36"/>
      <c r="C257" s="9" t="s">
        <v>298</v>
      </c>
      <c r="D257" s="9"/>
      <c r="E257" s="18" t="s">
        <v>222</v>
      </c>
      <c r="F257" s="19" t="s">
        <v>245</v>
      </c>
      <c r="G257" s="368">
        <f>'Yr 1 Operating Statement of Act'!G257</f>
        <v>0</v>
      </c>
      <c r="H257" s="397">
        <f>G257*1.02</f>
        <v>0</v>
      </c>
      <c r="I257" s="397">
        <f t="shared" ref="I257:K257" si="40">H257*1.02</f>
        <v>0</v>
      </c>
      <c r="J257" s="397">
        <f t="shared" si="40"/>
        <v>0</v>
      </c>
      <c r="K257" s="397">
        <f t="shared" si="40"/>
        <v>0</v>
      </c>
      <c r="L257" s="247"/>
    </row>
    <row r="258" spans="1:12">
      <c r="A258" s="206">
        <v>190</v>
      </c>
      <c r="B258" s="36"/>
      <c r="C258" s="9" t="s">
        <v>83</v>
      </c>
      <c r="D258" s="9"/>
      <c r="E258" s="18" t="s">
        <v>84</v>
      </c>
      <c r="F258" s="19" t="s">
        <v>156</v>
      </c>
      <c r="G258" s="368">
        <f>'Yr 1 Operating Statement of Act'!G258</f>
        <v>0</v>
      </c>
      <c r="H258" s="368">
        <f>'Yr 1 Operating Statement of Act'!H258</f>
        <v>0</v>
      </c>
      <c r="I258" s="368">
        <f>'Yr 1 Operating Statement of Act'!I258</f>
        <v>0</v>
      </c>
      <c r="J258" s="368">
        <f>'Yr 1 Operating Statement of Act'!J258</f>
        <v>0</v>
      </c>
      <c r="K258" s="368">
        <f>'Yr 1 Operating Statement of Act'!K258</f>
        <v>0</v>
      </c>
      <c r="L258" s="247"/>
    </row>
    <row r="259" spans="1:12">
      <c r="A259" s="206">
        <v>191</v>
      </c>
      <c r="B259" s="36"/>
      <c r="C259" s="9" t="s">
        <v>111</v>
      </c>
      <c r="D259" s="9"/>
      <c r="E259" s="18" t="s">
        <v>112</v>
      </c>
      <c r="F259" s="19" t="s">
        <v>157</v>
      </c>
      <c r="G259" s="368">
        <f>'Yr 1 Operating Statement of Act'!G259</f>
        <v>0</v>
      </c>
      <c r="H259" s="368">
        <f>'Yr 1 Operating Statement of Act'!H259</f>
        <v>0</v>
      </c>
      <c r="I259" s="368">
        <f>'Yr 1 Operating Statement of Act'!I259</f>
        <v>0</v>
      </c>
      <c r="J259" s="368">
        <f>'Yr 1 Operating Statement of Act'!J259</f>
        <v>0</v>
      </c>
      <c r="K259" s="368">
        <f>'Yr 1 Operating Statement of Act'!K259</f>
        <v>0</v>
      </c>
      <c r="L259" s="247"/>
    </row>
    <row r="260" spans="1:12">
      <c r="A260" s="206">
        <v>192</v>
      </c>
      <c r="B260" s="36"/>
      <c r="C260" s="9" t="s">
        <v>158</v>
      </c>
      <c r="D260" s="9"/>
      <c r="E260" s="18" t="s">
        <v>159</v>
      </c>
      <c r="F260" s="19" t="s">
        <v>156</v>
      </c>
      <c r="G260" s="368">
        <f>'Yr 1 Operating Statement of Act'!G260</f>
        <v>0</v>
      </c>
      <c r="H260" s="368">
        <f>'Yr 1 Operating Statement of Act'!H260</f>
        <v>0</v>
      </c>
      <c r="I260" s="368">
        <f>'Yr 1 Operating Statement of Act'!I260</f>
        <v>0</v>
      </c>
      <c r="J260" s="368">
        <f>'Yr 1 Operating Statement of Act'!J260</f>
        <v>0</v>
      </c>
      <c r="K260" s="368">
        <f>'Yr 1 Operating Statement of Act'!K260</f>
        <v>0</v>
      </c>
      <c r="L260" s="247"/>
    </row>
    <row r="261" spans="1:12">
      <c r="A261" s="206">
        <v>193</v>
      </c>
      <c r="B261" s="36"/>
      <c r="C261" s="9" t="s">
        <v>110</v>
      </c>
      <c r="D261" s="9"/>
      <c r="E261" s="18" t="s">
        <v>90</v>
      </c>
      <c r="F261" s="19" t="s">
        <v>156</v>
      </c>
      <c r="G261" s="368">
        <f>'Yr 1 Operating Statement of Act'!G261</f>
        <v>0</v>
      </c>
      <c r="H261" s="368">
        <f>'Yr 1 Operating Statement of Act'!H261</f>
        <v>0</v>
      </c>
      <c r="I261" s="368">
        <f>'Yr 1 Operating Statement of Act'!I261</f>
        <v>0</v>
      </c>
      <c r="J261" s="368">
        <f>'Yr 1 Operating Statement of Act'!J261</f>
        <v>0</v>
      </c>
      <c r="K261" s="368">
        <f>'Yr 1 Operating Statement of Act'!K261</f>
        <v>0</v>
      </c>
      <c r="L261" s="247"/>
    </row>
    <row r="262" spans="1:12">
      <c r="A262" s="206">
        <v>194</v>
      </c>
      <c r="B262" s="36"/>
      <c r="C262" s="9" t="s">
        <v>160</v>
      </c>
      <c r="D262" s="9"/>
      <c r="E262" s="18" t="s">
        <v>115</v>
      </c>
      <c r="F262" s="19" t="s">
        <v>156</v>
      </c>
      <c r="G262" s="368">
        <f>'Yr 1 Operating Statement of Act'!G262</f>
        <v>0</v>
      </c>
      <c r="H262" s="368">
        <f>'Yr 1 Operating Statement of Act'!H262</f>
        <v>0</v>
      </c>
      <c r="I262" s="368">
        <f>'Yr 1 Operating Statement of Act'!I262</f>
        <v>0</v>
      </c>
      <c r="J262" s="368">
        <f>'Yr 1 Operating Statement of Act'!J262</f>
        <v>0</v>
      </c>
      <c r="K262" s="368">
        <f>'Yr 1 Operating Statement of Act'!K262</f>
        <v>0</v>
      </c>
      <c r="L262" s="247"/>
    </row>
    <row r="263" spans="1:12">
      <c r="A263" s="206">
        <v>195</v>
      </c>
      <c r="B263" s="36"/>
      <c r="C263" s="9" t="s">
        <v>93</v>
      </c>
      <c r="D263" s="9"/>
      <c r="E263" s="18" t="s">
        <v>94</v>
      </c>
      <c r="F263" s="19" t="s">
        <v>156</v>
      </c>
      <c r="G263" s="368">
        <f>'Yr 1 Operating Statement of Act'!G263</f>
        <v>0</v>
      </c>
      <c r="H263" s="368">
        <f>'Yr 1 Operating Statement of Act'!H263</f>
        <v>0</v>
      </c>
      <c r="I263" s="368">
        <f>'Yr 1 Operating Statement of Act'!I263</f>
        <v>0</v>
      </c>
      <c r="J263" s="368">
        <f>'Yr 1 Operating Statement of Act'!J263</f>
        <v>0</v>
      </c>
      <c r="K263" s="368">
        <f>'Yr 1 Operating Statement of Act'!K263</f>
        <v>0</v>
      </c>
      <c r="L263" s="247"/>
    </row>
    <row r="264" spans="1:12">
      <c r="A264" s="206">
        <v>196</v>
      </c>
      <c r="B264" s="36"/>
      <c r="C264" s="9" t="s">
        <v>95</v>
      </c>
      <c r="D264" s="9"/>
      <c r="E264" s="18" t="s">
        <v>96</v>
      </c>
      <c r="F264" s="19" t="s">
        <v>156</v>
      </c>
      <c r="G264" s="368">
        <f>'Yr 1 Operating Statement of Act'!G264</f>
        <v>0</v>
      </c>
      <c r="H264" s="368">
        <f>'Yr 1 Operating Statement of Act'!H264</f>
        <v>0</v>
      </c>
      <c r="I264" s="368">
        <f>'Yr 1 Operating Statement of Act'!I264</f>
        <v>0</v>
      </c>
      <c r="J264" s="368">
        <f>'Yr 1 Operating Statement of Act'!J264</f>
        <v>0</v>
      </c>
      <c r="K264" s="368">
        <f>'Yr 1 Operating Statement of Act'!K264</f>
        <v>0</v>
      </c>
      <c r="L264" s="247"/>
    </row>
    <row r="265" spans="1:12">
      <c r="A265" s="206"/>
      <c r="B265" s="36"/>
      <c r="C265" s="9" t="s">
        <v>161</v>
      </c>
      <c r="D265" s="9"/>
      <c r="E265" s="61"/>
      <c r="F265" s="62"/>
      <c r="G265" s="383"/>
      <c r="H265" s="400"/>
      <c r="I265" s="400"/>
      <c r="J265" s="400"/>
      <c r="K265" s="425"/>
      <c r="L265" s="246"/>
    </row>
    <row r="266" spans="1:12">
      <c r="A266" s="206">
        <v>197</v>
      </c>
      <c r="B266" s="36"/>
      <c r="C266" s="9"/>
      <c r="D266" s="9" t="s">
        <v>162</v>
      </c>
      <c r="E266" s="18" t="s">
        <v>159</v>
      </c>
      <c r="F266" s="19" t="s">
        <v>155</v>
      </c>
      <c r="G266" s="368">
        <f>'Yr 1 Operating Statement of Act'!G266</f>
        <v>0</v>
      </c>
      <c r="H266" s="368">
        <f>'Yr 1 Operating Statement of Act'!H266</f>
        <v>0</v>
      </c>
      <c r="I266" s="368">
        <f>'Yr 1 Operating Statement of Act'!I266</f>
        <v>0</v>
      </c>
      <c r="J266" s="368">
        <f>'Yr 1 Operating Statement of Act'!J266</f>
        <v>0</v>
      </c>
      <c r="K266" s="368">
        <f>'Yr 1 Operating Statement of Act'!K266</f>
        <v>0</v>
      </c>
      <c r="L266" s="247"/>
    </row>
    <row r="267" spans="1:12">
      <c r="A267" s="206">
        <v>198</v>
      </c>
      <c r="B267" s="36"/>
      <c r="C267" s="9"/>
      <c r="D267" s="9" t="s">
        <v>163</v>
      </c>
      <c r="E267" s="18" t="s">
        <v>164</v>
      </c>
      <c r="F267" s="19" t="s">
        <v>155</v>
      </c>
      <c r="G267" s="368">
        <f>'Yr 1 Operating Statement of Act'!G267</f>
        <v>7500</v>
      </c>
      <c r="H267" s="397">
        <f>G267*1.04</f>
        <v>7800</v>
      </c>
      <c r="I267" s="397">
        <f t="shared" ref="I267:K267" si="41">H267*1.04</f>
        <v>8112</v>
      </c>
      <c r="J267" s="397">
        <f t="shared" si="41"/>
        <v>8436.48</v>
      </c>
      <c r="K267" s="397">
        <f t="shared" si="41"/>
        <v>8773.9392000000007</v>
      </c>
      <c r="L267" s="247"/>
    </row>
    <row r="268" spans="1:12">
      <c r="A268" s="206">
        <v>199</v>
      </c>
      <c r="B268" s="36"/>
      <c r="C268" s="9"/>
      <c r="D268" s="9" t="s">
        <v>165</v>
      </c>
      <c r="E268" s="18" t="s">
        <v>166</v>
      </c>
      <c r="F268" s="19" t="s">
        <v>155</v>
      </c>
      <c r="G268" s="368">
        <f>'Yr 1 Operating Statement of Act'!G268</f>
        <v>5961</v>
      </c>
      <c r="H268" s="397">
        <f>$G268/Assumptions!$B$18*Assumptions!C$18</f>
        <v>7948</v>
      </c>
      <c r="I268" s="397">
        <f>$G268/Assumptions!$B$18*Assumptions!D$18</f>
        <v>9935</v>
      </c>
      <c r="J268" s="397">
        <f>$G268/Assumptions!$B$18*Assumptions!E$18</f>
        <v>11922</v>
      </c>
      <c r="K268" s="397">
        <f>$G268/Assumptions!$B$18*Assumptions!F$18</f>
        <v>11922</v>
      </c>
      <c r="L268" s="247"/>
    </row>
    <row r="269" spans="1:12">
      <c r="A269" s="206">
        <v>200</v>
      </c>
      <c r="B269" s="36"/>
      <c r="C269" s="9"/>
      <c r="D269" s="9" t="s">
        <v>167</v>
      </c>
      <c r="E269" s="18" t="s">
        <v>168</v>
      </c>
      <c r="F269" s="19" t="s">
        <v>155</v>
      </c>
      <c r="G269" s="368">
        <f>'Yr 1 Operating Statement of Act'!G269</f>
        <v>118250</v>
      </c>
      <c r="H269" s="397">
        <f>G269*1.02</f>
        <v>120615</v>
      </c>
      <c r="I269" s="397">
        <f t="shared" ref="I269:K269" si="42">H269*1.02</f>
        <v>123027.3</v>
      </c>
      <c r="J269" s="397">
        <f t="shared" si="42"/>
        <v>125487.84600000001</v>
      </c>
      <c r="K269" s="397">
        <f t="shared" si="42"/>
        <v>127997.60292</v>
      </c>
      <c r="L269" s="247"/>
    </row>
    <row r="270" spans="1:12">
      <c r="A270" s="206">
        <v>201</v>
      </c>
      <c r="B270" s="36"/>
      <c r="C270" s="9"/>
      <c r="D270" s="9" t="s">
        <v>85</v>
      </c>
      <c r="E270" s="18" t="s">
        <v>86</v>
      </c>
      <c r="F270" s="19" t="s">
        <v>155</v>
      </c>
      <c r="G270" s="368">
        <f>'Yr 1 Operating Statement of Act'!G270</f>
        <v>27500</v>
      </c>
      <c r="H270" s="397">
        <f t="shared" ref="H270:K270" si="43">G270*1.02</f>
        <v>28050</v>
      </c>
      <c r="I270" s="397">
        <f t="shared" si="43"/>
        <v>28611</v>
      </c>
      <c r="J270" s="397">
        <f t="shared" si="43"/>
        <v>29183.22</v>
      </c>
      <c r="K270" s="397">
        <f t="shared" si="43"/>
        <v>29766.884400000003</v>
      </c>
      <c r="L270" s="247"/>
    </row>
    <row r="271" spans="1:12">
      <c r="A271" s="206">
        <v>202</v>
      </c>
      <c r="B271" s="36"/>
      <c r="C271" s="9"/>
      <c r="D271" s="9" t="s">
        <v>169</v>
      </c>
      <c r="E271" s="18" t="s">
        <v>170</v>
      </c>
      <c r="F271" s="19" t="s">
        <v>155</v>
      </c>
      <c r="G271" s="368">
        <f>'Yr 1 Operating Statement of Act'!G271</f>
        <v>33000</v>
      </c>
      <c r="H271" s="397">
        <f t="shared" ref="H271:K271" si="44">G271*1.02</f>
        <v>33660</v>
      </c>
      <c r="I271" s="397">
        <f t="shared" si="44"/>
        <v>34333.199999999997</v>
      </c>
      <c r="J271" s="397">
        <f t="shared" si="44"/>
        <v>35019.863999999994</v>
      </c>
      <c r="K271" s="397">
        <f t="shared" si="44"/>
        <v>35720.261279999992</v>
      </c>
      <c r="L271" s="247"/>
    </row>
    <row r="272" spans="1:12">
      <c r="A272" s="206">
        <v>203</v>
      </c>
      <c r="B272" s="36"/>
      <c r="C272" s="9"/>
      <c r="D272" s="9" t="s">
        <v>171</v>
      </c>
      <c r="E272" s="18" t="s">
        <v>144</v>
      </c>
      <c r="F272" s="19" t="s">
        <v>155</v>
      </c>
      <c r="G272" s="368">
        <f>'Yr 1 Operating Statement of Act'!G272</f>
        <v>13000</v>
      </c>
      <c r="H272" s="397">
        <f t="shared" ref="H272:K272" si="45">G272*1.02</f>
        <v>13260</v>
      </c>
      <c r="I272" s="397">
        <f t="shared" si="45"/>
        <v>13525.2</v>
      </c>
      <c r="J272" s="397">
        <f t="shared" si="45"/>
        <v>13795.704000000002</v>
      </c>
      <c r="K272" s="397">
        <f t="shared" si="45"/>
        <v>14071.618080000002</v>
      </c>
      <c r="L272" s="247"/>
    </row>
    <row r="273" spans="1:12">
      <c r="A273" s="206">
        <v>204</v>
      </c>
      <c r="B273" s="36"/>
      <c r="C273" s="9"/>
      <c r="D273" s="9" t="s">
        <v>248</v>
      </c>
      <c r="E273" s="18" t="s">
        <v>249</v>
      </c>
      <c r="F273" s="19" t="s">
        <v>155</v>
      </c>
      <c r="G273" s="368">
        <f>'Yr 1 Operating Statement of Act'!G273</f>
        <v>73150</v>
      </c>
      <c r="H273" s="397">
        <f t="shared" ref="H273:K273" si="46">G273*1.02</f>
        <v>74613</v>
      </c>
      <c r="I273" s="397">
        <f t="shared" si="46"/>
        <v>76105.259999999995</v>
      </c>
      <c r="J273" s="397">
        <f t="shared" si="46"/>
        <v>77627.3652</v>
      </c>
      <c r="K273" s="397">
        <f t="shared" si="46"/>
        <v>79179.912504000007</v>
      </c>
      <c r="L273" s="247"/>
    </row>
    <row r="274" spans="1:12">
      <c r="A274" s="206">
        <v>205</v>
      </c>
      <c r="B274" s="36"/>
      <c r="C274" s="9" t="s">
        <v>172</v>
      </c>
      <c r="D274" s="9"/>
      <c r="E274" s="18" t="s">
        <v>251</v>
      </c>
      <c r="F274" s="19">
        <v>2630</v>
      </c>
      <c r="G274" s="368">
        <f>'Yr 1 Operating Statement of Act'!G274</f>
        <v>0</v>
      </c>
      <c r="H274" s="368">
        <f>'Yr 1 Operating Statement of Act'!H274</f>
        <v>0</v>
      </c>
      <c r="I274" s="368">
        <f>'Yr 1 Operating Statement of Act'!I274</f>
        <v>0</v>
      </c>
      <c r="J274" s="368">
        <f>'Yr 1 Operating Statement of Act'!J274</f>
        <v>0</v>
      </c>
      <c r="K274" s="368">
        <f>'Yr 1 Operating Statement of Act'!K274</f>
        <v>0</v>
      </c>
      <c r="L274" s="247"/>
    </row>
    <row r="275" spans="1:12">
      <c r="A275" s="206">
        <v>206</v>
      </c>
      <c r="B275" s="36"/>
      <c r="C275" s="9" t="s">
        <v>173</v>
      </c>
      <c r="D275" s="9"/>
      <c r="E275" s="18" t="s">
        <v>251</v>
      </c>
      <c r="F275" s="19">
        <v>2640</v>
      </c>
      <c r="G275" s="368">
        <f>'Yr 1 Operating Statement of Act'!G275</f>
        <v>0</v>
      </c>
      <c r="H275" s="368">
        <f>'Yr 1 Operating Statement of Act'!H275</f>
        <v>0</v>
      </c>
      <c r="I275" s="368">
        <f>'Yr 1 Operating Statement of Act'!I275</f>
        <v>0</v>
      </c>
      <c r="J275" s="368">
        <f>'Yr 1 Operating Statement of Act'!J275</f>
        <v>0</v>
      </c>
      <c r="K275" s="368">
        <f>'Yr 1 Operating Statement of Act'!K275</f>
        <v>0</v>
      </c>
      <c r="L275" s="247"/>
    </row>
    <row r="276" spans="1:12">
      <c r="A276" s="206">
        <v>207</v>
      </c>
      <c r="B276" s="36"/>
      <c r="C276" s="9" t="s">
        <v>174</v>
      </c>
      <c r="D276" s="9"/>
      <c r="E276" s="18" t="s">
        <v>221</v>
      </c>
      <c r="F276" s="19" t="s">
        <v>245</v>
      </c>
      <c r="G276" s="368">
        <f>'Yr 1 Operating Statement of Act'!G276</f>
        <v>0</v>
      </c>
      <c r="H276" s="368">
        <f>'Yr 1 Operating Statement of Act'!H276</f>
        <v>0</v>
      </c>
      <c r="I276" s="368">
        <f>'Yr 1 Operating Statement of Act'!I276</f>
        <v>0</v>
      </c>
      <c r="J276" s="368">
        <f>'Yr 1 Operating Statement of Act'!J276</f>
        <v>0</v>
      </c>
      <c r="K276" s="368">
        <f>'Yr 1 Operating Statement of Act'!K276</f>
        <v>0</v>
      </c>
      <c r="L276" s="247"/>
    </row>
    <row r="277" spans="1:12">
      <c r="A277" s="206">
        <v>208</v>
      </c>
      <c r="B277" s="36"/>
      <c r="C277" s="9" t="s">
        <v>295</v>
      </c>
      <c r="D277" s="9"/>
      <c r="E277" s="18" t="s">
        <v>97</v>
      </c>
      <c r="F277" s="19" t="s">
        <v>245</v>
      </c>
      <c r="G277" s="368">
        <f>'Yr 1 Operating Statement of Act'!G277</f>
        <v>0</v>
      </c>
      <c r="H277" s="396">
        <f>G277*1.02</f>
        <v>0</v>
      </c>
      <c r="I277" s="396">
        <f t="shared" ref="I277:K277" si="47">H277*1.02</f>
        <v>0</v>
      </c>
      <c r="J277" s="396">
        <f t="shared" si="47"/>
        <v>0</v>
      </c>
      <c r="K277" s="396">
        <f t="shared" si="47"/>
        <v>0</v>
      </c>
      <c r="L277" s="247"/>
    </row>
    <row r="278" spans="1:12">
      <c r="A278" s="206">
        <v>209</v>
      </c>
      <c r="B278" s="36"/>
      <c r="C278" s="9" t="s">
        <v>98</v>
      </c>
      <c r="D278" s="9"/>
      <c r="E278" s="18" t="s">
        <v>99</v>
      </c>
      <c r="F278" s="19" t="s">
        <v>245</v>
      </c>
      <c r="G278" s="368">
        <f>'Yr 1 Operating Statement of Act'!G278</f>
        <v>0</v>
      </c>
      <c r="H278" s="397">
        <f>H257*0.062</f>
        <v>0</v>
      </c>
      <c r="I278" s="397">
        <f t="shared" ref="I278:K278" si="48">I257*0.062</f>
        <v>0</v>
      </c>
      <c r="J278" s="397">
        <f t="shared" si="48"/>
        <v>0</v>
      </c>
      <c r="K278" s="397">
        <f t="shared" si="48"/>
        <v>0</v>
      </c>
      <c r="L278" s="247"/>
    </row>
    <row r="279" spans="1:12">
      <c r="A279" s="206">
        <v>210</v>
      </c>
      <c r="B279" s="36"/>
      <c r="C279" s="9" t="s">
        <v>100</v>
      </c>
      <c r="D279" s="9"/>
      <c r="E279" s="18" t="s">
        <v>101</v>
      </c>
      <c r="F279" s="19" t="s">
        <v>245</v>
      </c>
      <c r="G279" s="368">
        <f>'Yr 1 Operating Statement of Act'!G279</f>
        <v>0</v>
      </c>
      <c r="H279" s="397">
        <f>H257*0.0145</f>
        <v>0</v>
      </c>
      <c r="I279" s="397">
        <f t="shared" ref="I279:K279" si="49">I257*0.0145</f>
        <v>0</v>
      </c>
      <c r="J279" s="397">
        <f t="shared" si="49"/>
        <v>0</v>
      </c>
      <c r="K279" s="397">
        <f t="shared" si="49"/>
        <v>0</v>
      </c>
      <c r="L279" s="247"/>
    </row>
    <row r="280" spans="1:12">
      <c r="A280" s="206">
        <v>211</v>
      </c>
      <c r="B280" s="36"/>
      <c r="C280" s="9" t="s">
        <v>219</v>
      </c>
      <c r="D280" s="9"/>
      <c r="E280" s="18" t="s">
        <v>220</v>
      </c>
      <c r="F280" s="19" t="s">
        <v>245</v>
      </c>
      <c r="G280" s="368">
        <f>'Yr 1 Operating Statement of Act'!G280</f>
        <v>0</v>
      </c>
      <c r="H280" s="397">
        <f>H257*0.06</f>
        <v>0</v>
      </c>
      <c r="I280" s="397">
        <f t="shared" ref="I280:K280" si="50">I257*0.06</f>
        <v>0</v>
      </c>
      <c r="J280" s="397">
        <f t="shared" si="50"/>
        <v>0</v>
      </c>
      <c r="K280" s="397">
        <f t="shared" si="50"/>
        <v>0</v>
      </c>
      <c r="L280" s="247"/>
    </row>
    <row r="281" spans="1:12">
      <c r="A281" s="206">
        <v>212</v>
      </c>
      <c r="B281" s="36"/>
      <c r="C281" s="9" t="s">
        <v>102</v>
      </c>
      <c r="D281" s="9"/>
      <c r="E281" s="18" t="s">
        <v>103</v>
      </c>
      <c r="F281" s="19" t="s">
        <v>245</v>
      </c>
      <c r="G281" s="368">
        <f>'Yr 1 Operating Statement of Act'!G281</f>
        <v>0</v>
      </c>
      <c r="H281" s="397">
        <f>H257*0.0098</f>
        <v>0</v>
      </c>
      <c r="I281" s="397">
        <f t="shared" ref="I281:K281" si="51">I257*0.0098</f>
        <v>0</v>
      </c>
      <c r="J281" s="397">
        <f t="shared" si="51"/>
        <v>0</v>
      </c>
      <c r="K281" s="397">
        <f t="shared" si="51"/>
        <v>0</v>
      </c>
      <c r="L281" s="247"/>
    </row>
    <row r="282" spans="1:12">
      <c r="A282" s="206">
        <v>213</v>
      </c>
      <c r="B282" s="36"/>
      <c r="C282" s="9" t="s">
        <v>104</v>
      </c>
      <c r="D282" s="9"/>
      <c r="E282" s="18" t="s">
        <v>105</v>
      </c>
      <c r="F282" s="19" t="s">
        <v>245</v>
      </c>
      <c r="G282" s="368">
        <f>'Yr 1 Operating Statement of Act'!G282</f>
        <v>0</v>
      </c>
      <c r="H282" s="397">
        <f>H257*0.0075</f>
        <v>0</v>
      </c>
      <c r="I282" s="397">
        <f t="shared" ref="I282:K282" si="52">I257*0.0075</f>
        <v>0</v>
      </c>
      <c r="J282" s="397">
        <f t="shared" si="52"/>
        <v>0</v>
      </c>
      <c r="K282" s="397">
        <f t="shared" si="52"/>
        <v>0</v>
      </c>
      <c r="L282" s="247"/>
    </row>
    <row r="283" spans="1:12">
      <c r="A283" s="206">
        <v>214</v>
      </c>
      <c r="B283" s="36"/>
      <c r="C283" s="85" t="s">
        <v>283</v>
      </c>
      <c r="D283" s="9"/>
      <c r="E283" s="18"/>
      <c r="F283" s="19"/>
      <c r="G283" s="365"/>
      <c r="H283" s="397"/>
      <c r="I283" s="397"/>
      <c r="J283" s="397"/>
      <c r="K283" s="366"/>
      <c r="L283" s="247"/>
    </row>
    <row r="284" spans="1:12">
      <c r="A284" s="206">
        <v>215</v>
      </c>
      <c r="B284" s="36"/>
      <c r="C284" s="85"/>
      <c r="D284" s="9"/>
      <c r="E284" s="18"/>
      <c r="F284" s="19"/>
      <c r="G284" s="365"/>
      <c r="H284" s="397"/>
      <c r="I284" s="397"/>
      <c r="J284" s="397"/>
      <c r="K284" s="366"/>
      <c r="L284" s="247"/>
    </row>
    <row r="285" spans="1:12">
      <c r="A285" s="206">
        <v>216</v>
      </c>
      <c r="B285" s="36"/>
      <c r="C285" s="9"/>
      <c r="D285" s="9"/>
      <c r="E285" s="18"/>
      <c r="F285" s="19"/>
      <c r="G285" s="365"/>
      <c r="H285" s="397"/>
      <c r="I285" s="397"/>
      <c r="J285" s="397"/>
      <c r="K285" s="366"/>
      <c r="L285" s="247"/>
    </row>
    <row r="286" spans="1:12">
      <c r="A286" s="207">
        <v>217</v>
      </c>
      <c r="B286" s="87" t="s">
        <v>175</v>
      </c>
      <c r="C286" s="51"/>
      <c r="D286" s="51"/>
      <c r="E286" s="49"/>
      <c r="F286" s="50"/>
      <c r="G286" s="384">
        <f>SUM(G257:G285)</f>
        <v>278361</v>
      </c>
      <c r="H286" s="408">
        <f>SUM(H257:H285)</f>
        <v>285946</v>
      </c>
      <c r="I286" s="408">
        <f>SUM(I257:I285)</f>
        <v>293648.96000000002</v>
      </c>
      <c r="J286" s="408">
        <f>SUM(J257:J285)</f>
        <v>301472.4792</v>
      </c>
      <c r="K286" s="428">
        <f>SUM(K257:K285)</f>
        <v>307432.21838400001</v>
      </c>
      <c r="L286" s="250"/>
    </row>
    <row r="287" spans="1:12">
      <c r="A287" s="206"/>
      <c r="B287" s="36"/>
      <c r="C287" s="9"/>
      <c r="D287" s="9"/>
      <c r="E287" s="61"/>
      <c r="F287" s="62"/>
      <c r="G287" s="383"/>
      <c r="H287" s="400"/>
      <c r="I287" s="400"/>
      <c r="J287" s="400"/>
      <c r="K287" s="425"/>
      <c r="L287" s="246"/>
    </row>
    <row r="288" spans="1:12" s="4" customFormat="1">
      <c r="A288" s="206"/>
      <c r="B288" s="88" t="s">
        <v>29</v>
      </c>
      <c r="C288" s="53"/>
      <c r="D288" s="53"/>
      <c r="E288" s="77"/>
      <c r="F288" s="78"/>
      <c r="G288" s="386"/>
      <c r="H288" s="409"/>
      <c r="I288" s="409"/>
      <c r="J288" s="409"/>
      <c r="K288" s="435"/>
      <c r="L288" s="265"/>
    </row>
    <row r="289" spans="1:12">
      <c r="A289" s="206">
        <v>218</v>
      </c>
      <c r="B289" s="36"/>
      <c r="C289" s="9" t="s">
        <v>83</v>
      </c>
      <c r="D289" s="9"/>
      <c r="E289" s="18" t="s">
        <v>246</v>
      </c>
      <c r="F289" s="19" t="s">
        <v>247</v>
      </c>
      <c r="G289" s="368">
        <f>'Yr 1 Operating Statement of Act'!G289</f>
        <v>210000</v>
      </c>
      <c r="H289" s="397">
        <f>'Assumptions Expenses'!E38</f>
        <v>320000</v>
      </c>
      <c r="I289" s="397">
        <f>'Assumptions Expenses'!G38</f>
        <v>400000</v>
      </c>
      <c r="J289" s="397">
        <f>'Assumptions Expenses'!I38</f>
        <v>480000</v>
      </c>
      <c r="K289" s="397">
        <f>'Assumptions Expenses'!K38</f>
        <v>600000</v>
      </c>
      <c r="L289" s="247"/>
    </row>
    <row r="290" spans="1:12">
      <c r="A290" s="206"/>
      <c r="B290" s="36"/>
      <c r="C290" s="9" t="s">
        <v>176</v>
      </c>
      <c r="D290" s="9"/>
      <c r="E290" s="61"/>
      <c r="F290" s="62"/>
      <c r="G290" s="383"/>
      <c r="H290" s="400"/>
      <c r="I290" s="400"/>
      <c r="J290" s="400"/>
      <c r="K290" s="425"/>
      <c r="L290" s="246"/>
    </row>
    <row r="291" spans="1:12">
      <c r="A291" s="206">
        <v>219</v>
      </c>
      <c r="B291" s="36"/>
      <c r="C291" s="9" t="s">
        <v>33</v>
      </c>
      <c r="D291" s="9" t="s">
        <v>299</v>
      </c>
      <c r="E291" s="18" t="s">
        <v>222</v>
      </c>
      <c r="F291" s="19" t="s">
        <v>247</v>
      </c>
      <c r="G291" s="368">
        <f>'Yr 1 Operating Statement of Act'!G291</f>
        <v>0</v>
      </c>
      <c r="H291" s="397">
        <f t="shared" ref="H291:K291" si="53">G291*1.02</f>
        <v>0</v>
      </c>
      <c r="I291" s="397">
        <f t="shared" si="53"/>
        <v>0</v>
      </c>
      <c r="J291" s="397">
        <f t="shared" si="53"/>
        <v>0</v>
      </c>
      <c r="K291" s="397">
        <f t="shared" si="53"/>
        <v>0</v>
      </c>
      <c r="L291" s="247"/>
    </row>
    <row r="292" spans="1:12">
      <c r="A292" s="206">
        <v>220</v>
      </c>
      <c r="B292" s="36"/>
      <c r="C292" s="9"/>
      <c r="D292" s="9" t="s">
        <v>85</v>
      </c>
      <c r="E292" s="18" t="s">
        <v>86</v>
      </c>
      <c r="F292" s="19" t="s">
        <v>177</v>
      </c>
      <c r="G292" s="368">
        <f>'Yr 1 Operating Statement of Act'!G292</f>
        <v>0</v>
      </c>
      <c r="H292" s="397">
        <f t="shared" ref="H292:K292" si="54">G292*1.02</f>
        <v>0</v>
      </c>
      <c r="I292" s="397">
        <f t="shared" si="54"/>
        <v>0</v>
      </c>
      <c r="J292" s="397">
        <f t="shared" si="54"/>
        <v>0</v>
      </c>
      <c r="K292" s="397">
        <f t="shared" si="54"/>
        <v>0</v>
      </c>
      <c r="L292" s="247"/>
    </row>
    <row r="293" spans="1:12">
      <c r="A293" s="206">
        <v>221</v>
      </c>
      <c r="B293" s="36"/>
      <c r="C293" s="9"/>
      <c r="D293" s="9" t="s">
        <v>178</v>
      </c>
      <c r="E293" s="18" t="s">
        <v>179</v>
      </c>
      <c r="F293" s="19" t="s">
        <v>177</v>
      </c>
      <c r="G293" s="368">
        <f>'Yr 1 Operating Statement of Act'!G293</f>
        <v>0</v>
      </c>
      <c r="H293" s="397">
        <f t="shared" ref="H293:K293" si="55">G293*1.02</f>
        <v>0</v>
      </c>
      <c r="I293" s="397">
        <f t="shared" si="55"/>
        <v>0</v>
      </c>
      <c r="J293" s="397">
        <f t="shared" si="55"/>
        <v>0</v>
      </c>
      <c r="K293" s="397">
        <f t="shared" si="55"/>
        <v>0</v>
      </c>
      <c r="L293" s="247"/>
    </row>
    <row r="294" spans="1:12">
      <c r="A294" s="206">
        <v>222</v>
      </c>
      <c r="B294" s="36"/>
      <c r="C294" s="9"/>
      <c r="D294" s="9" t="s">
        <v>113</v>
      </c>
      <c r="E294" s="18" t="s">
        <v>114</v>
      </c>
      <c r="F294" s="19" t="s">
        <v>177</v>
      </c>
      <c r="G294" s="368">
        <f>'Yr 1 Operating Statement of Act'!G294</f>
        <v>0</v>
      </c>
      <c r="H294" s="397">
        <f t="shared" ref="H294:K294" si="56">G294*1.02</f>
        <v>0</v>
      </c>
      <c r="I294" s="397">
        <f t="shared" si="56"/>
        <v>0</v>
      </c>
      <c r="J294" s="397">
        <f t="shared" si="56"/>
        <v>0</v>
      </c>
      <c r="K294" s="397">
        <f t="shared" si="56"/>
        <v>0</v>
      </c>
      <c r="L294" s="247"/>
    </row>
    <row r="295" spans="1:12">
      <c r="A295" s="206">
        <v>223</v>
      </c>
      <c r="B295" s="36"/>
      <c r="C295" s="9"/>
      <c r="D295" s="9" t="s">
        <v>110</v>
      </c>
      <c r="E295" s="18" t="s">
        <v>90</v>
      </c>
      <c r="F295" s="19" t="s">
        <v>177</v>
      </c>
      <c r="G295" s="368">
        <f>'Yr 1 Operating Statement of Act'!G295</f>
        <v>0</v>
      </c>
      <c r="H295" s="397">
        <f t="shared" ref="H295:K295" si="57">G295*1.02</f>
        <v>0</v>
      </c>
      <c r="I295" s="397">
        <f t="shared" si="57"/>
        <v>0</v>
      </c>
      <c r="J295" s="397">
        <f t="shared" si="57"/>
        <v>0</v>
      </c>
      <c r="K295" s="397">
        <f t="shared" si="57"/>
        <v>0</v>
      </c>
      <c r="L295" s="247"/>
    </row>
    <row r="296" spans="1:12">
      <c r="A296" s="206">
        <v>224</v>
      </c>
      <c r="B296" s="36"/>
      <c r="C296" s="9"/>
      <c r="D296" s="9" t="s">
        <v>180</v>
      </c>
      <c r="E296" s="18" t="s">
        <v>115</v>
      </c>
      <c r="F296" s="19" t="s">
        <v>177</v>
      </c>
      <c r="G296" s="368">
        <f>'Yr 1 Operating Statement of Act'!G296</f>
        <v>0</v>
      </c>
      <c r="H296" s="397">
        <f t="shared" ref="H296:K296" si="58">G296*1.02</f>
        <v>0</v>
      </c>
      <c r="I296" s="397">
        <f t="shared" si="58"/>
        <v>0</v>
      </c>
      <c r="J296" s="397">
        <f t="shared" si="58"/>
        <v>0</v>
      </c>
      <c r="K296" s="397">
        <f t="shared" si="58"/>
        <v>0</v>
      </c>
      <c r="L296" s="247"/>
    </row>
    <row r="297" spans="1:12">
      <c r="A297" s="206">
        <v>225</v>
      </c>
      <c r="B297" s="36"/>
      <c r="C297" s="9"/>
      <c r="D297" s="9" t="s">
        <v>93</v>
      </c>
      <c r="E297" s="18" t="s">
        <v>94</v>
      </c>
      <c r="F297" s="19" t="s">
        <v>177</v>
      </c>
      <c r="G297" s="368">
        <f>'Yr 1 Operating Statement of Act'!G297</f>
        <v>0</v>
      </c>
      <c r="H297" s="397">
        <f t="shared" ref="H297:K297" si="59">G297*1.02</f>
        <v>0</v>
      </c>
      <c r="I297" s="397">
        <f t="shared" si="59"/>
        <v>0</v>
      </c>
      <c r="J297" s="397">
        <f t="shared" si="59"/>
        <v>0</v>
      </c>
      <c r="K297" s="397">
        <f t="shared" si="59"/>
        <v>0</v>
      </c>
      <c r="L297" s="247"/>
    </row>
    <row r="298" spans="1:12">
      <c r="A298" s="206">
        <v>226</v>
      </c>
      <c r="B298" s="36"/>
      <c r="C298" s="9"/>
      <c r="D298" s="9" t="s">
        <v>95</v>
      </c>
      <c r="E298" s="18" t="s">
        <v>96</v>
      </c>
      <c r="F298" s="19" t="s">
        <v>177</v>
      </c>
      <c r="G298" s="368">
        <f>'Yr 1 Operating Statement of Act'!G298</f>
        <v>0</v>
      </c>
      <c r="H298" s="397">
        <f t="shared" ref="H298:K298" si="60">G298*1.02</f>
        <v>0</v>
      </c>
      <c r="I298" s="397">
        <f t="shared" si="60"/>
        <v>0</v>
      </c>
      <c r="J298" s="397">
        <f t="shared" si="60"/>
        <v>0</v>
      </c>
      <c r="K298" s="397">
        <f t="shared" si="60"/>
        <v>0</v>
      </c>
      <c r="L298" s="247"/>
    </row>
    <row r="299" spans="1:12">
      <c r="A299" s="206">
        <v>227</v>
      </c>
      <c r="B299" s="36"/>
      <c r="C299" s="9"/>
      <c r="D299" s="9" t="s">
        <v>295</v>
      </c>
      <c r="E299" s="18" t="s">
        <v>97</v>
      </c>
      <c r="F299" s="19" t="s">
        <v>247</v>
      </c>
      <c r="G299" s="368">
        <f>'Yr 1 Operating Statement of Act'!G299</f>
        <v>0</v>
      </c>
      <c r="H299" s="397">
        <f t="shared" ref="H299:K299" si="61">G299*1.02</f>
        <v>0</v>
      </c>
      <c r="I299" s="397">
        <f t="shared" si="61"/>
        <v>0</v>
      </c>
      <c r="J299" s="397">
        <f t="shared" si="61"/>
        <v>0</v>
      </c>
      <c r="K299" s="397">
        <f t="shared" si="61"/>
        <v>0</v>
      </c>
      <c r="L299" s="247"/>
    </row>
    <row r="300" spans="1:12">
      <c r="A300" s="206">
        <v>228</v>
      </c>
      <c r="B300" s="36"/>
      <c r="C300" s="9"/>
      <c r="D300" s="9" t="s">
        <v>98</v>
      </c>
      <c r="E300" s="18" t="s">
        <v>99</v>
      </c>
      <c r="F300" s="19" t="s">
        <v>247</v>
      </c>
      <c r="G300" s="368">
        <f>'Yr 1 Operating Statement of Act'!G300</f>
        <v>0</v>
      </c>
      <c r="H300" s="397">
        <f t="shared" ref="H300:K300" si="62">G300*1.02</f>
        <v>0</v>
      </c>
      <c r="I300" s="397">
        <f t="shared" si="62"/>
        <v>0</v>
      </c>
      <c r="J300" s="397">
        <f t="shared" si="62"/>
        <v>0</v>
      </c>
      <c r="K300" s="397">
        <f t="shared" si="62"/>
        <v>0</v>
      </c>
      <c r="L300" s="247"/>
    </row>
    <row r="301" spans="1:12">
      <c r="A301" s="206">
        <v>229</v>
      </c>
      <c r="B301" s="36"/>
      <c r="C301" s="9"/>
      <c r="D301" s="9" t="s">
        <v>100</v>
      </c>
      <c r="E301" s="18" t="s">
        <v>101</v>
      </c>
      <c r="F301" s="19" t="s">
        <v>247</v>
      </c>
      <c r="G301" s="368">
        <f>'Yr 1 Operating Statement of Act'!G301</f>
        <v>0</v>
      </c>
      <c r="H301" s="397">
        <f t="shared" ref="H301:K301" si="63">G301*1.02</f>
        <v>0</v>
      </c>
      <c r="I301" s="397">
        <f t="shared" si="63"/>
        <v>0</v>
      </c>
      <c r="J301" s="397">
        <f t="shared" si="63"/>
        <v>0</v>
      </c>
      <c r="K301" s="397">
        <f t="shared" si="63"/>
        <v>0</v>
      </c>
      <c r="L301" s="247"/>
    </row>
    <row r="302" spans="1:12">
      <c r="A302" s="206">
        <v>230</v>
      </c>
      <c r="B302" s="36"/>
      <c r="C302" s="9"/>
      <c r="D302" s="9" t="s">
        <v>219</v>
      </c>
      <c r="E302" s="18" t="s">
        <v>220</v>
      </c>
      <c r="F302" s="19" t="s">
        <v>247</v>
      </c>
      <c r="G302" s="368">
        <f>'Yr 1 Operating Statement of Act'!G302</f>
        <v>0</v>
      </c>
      <c r="H302" s="397">
        <f t="shared" ref="H302:K302" si="64">G302*1.02</f>
        <v>0</v>
      </c>
      <c r="I302" s="397">
        <f t="shared" si="64"/>
        <v>0</v>
      </c>
      <c r="J302" s="397">
        <f t="shared" si="64"/>
        <v>0</v>
      </c>
      <c r="K302" s="397">
        <f t="shared" si="64"/>
        <v>0</v>
      </c>
      <c r="L302" s="247"/>
    </row>
    <row r="303" spans="1:12">
      <c r="A303" s="206">
        <v>231</v>
      </c>
      <c r="B303" s="36"/>
      <c r="C303" s="9"/>
      <c r="D303" s="9" t="s">
        <v>102</v>
      </c>
      <c r="E303" s="18" t="s">
        <v>103</v>
      </c>
      <c r="F303" s="19" t="s">
        <v>247</v>
      </c>
      <c r="G303" s="368">
        <f>'Yr 1 Operating Statement of Act'!G303</f>
        <v>0</v>
      </c>
      <c r="H303" s="397">
        <f t="shared" ref="H303:K303" si="65">G303*1.02</f>
        <v>0</v>
      </c>
      <c r="I303" s="397">
        <f t="shared" si="65"/>
        <v>0</v>
      </c>
      <c r="J303" s="397">
        <f t="shared" si="65"/>
        <v>0</v>
      </c>
      <c r="K303" s="397">
        <f t="shared" si="65"/>
        <v>0</v>
      </c>
      <c r="L303" s="247"/>
    </row>
    <row r="304" spans="1:12">
      <c r="A304" s="206">
        <v>232</v>
      </c>
      <c r="B304" s="36"/>
      <c r="C304" s="9"/>
      <c r="D304" s="9" t="s">
        <v>104</v>
      </c>
      <c r="E304" s="18" t="s">
        <v>105</v>
      </c>
      <c r="F304" s="19" t="s">
        <v>247</v>
      </c>
      <c r="G304" s="368">
        <f>'Yr 1 Operating Statement of Act'!G304</f>
        <v>0</v>
      </c>
      <c r="H304" s="397">
        <f t="shared" ref="H304:K304" si="66">G304*1.02</f>
        <v>0</v>
      </c>
      <c r="I304" s="397">
        <f t="shared" si="66"/>
        <v>0</v>
      </c>
      <c r="J304" s="397">
        <f t="shared" si="66"/>
        <v>0</v>
      </c>
      <c r="K304" s="397">
        <f t="shared" si="66"/>
        <v>0</v>
      </c>
      <c r="L304" s="247"/>
    </row>
    <row r="305" spans="1:12">
      <c r="A305" s="206">
        <v>233</v>
      </c>
      <c r="B305" s="36"/>
      <c r="C305" s="85" t="s">
        <v>283</v>
      </c>
      <c r="D305" s="9"/>
      <c r="E305" s="18"/>
      <c r="F305" s="19"/>
      <c r="G305" s="365"/>
      <c r="H305" s="397"/>
      <c r="I305" s="397"/>
      <c r="J305" s="397"/>
      <c r="K305" s="366"/>
      <c r="L305" s="247"/>
    </row>
    <row r="306" spans="1:12">
      <c r="A306" s="206">
        <v>234</v>
      </c>
      <c r="B306" s="36"/>
      <c r="C306" s="85"/>
      <c r="D306" s="9"/>
      <c r="E306" s="18"/>
      <c r="F306" s="19"/>
      <c r="G306" s="365"/>
      <c r="H306" s="397"/>
      <c r="I306" s="397"/>
      <c r="J306" s="397"/>
      <c r="K306" s="366"/>
      <c r="L306" s="247"/>
    </row>
    <row r="307" spans="1:12">
      <c r="A307" s="206">
        <v>235</v>
      </c>
      <c r="B307" s="83"/>
      <c r="D307" s="13"/>
      <c r="E307" s="14"/>
      <c r="F307" s="15"/>
      <c r="G307" s="380"/>
      <c r="H307" s="405"/>
      <c r="I307" s="405"/>
      <c r="J307" s="405"/>
      <c r="K307" s="432"/>
      <c r="L307" s="262"/>
    </row>
    <row r="308" spans="1:12">
      <c r="A308" s="207">
        <v>236</v>
      </c>
      <c r="B308" s="87" t="s">
        <v>181</v>
      </c>
      <c r="C308" s="51"/>
      <c r="D308" s="51"/>
      <c r="E308" s="49"/>
      <c r="F308" s="50"/>
      <c r="G308" s="384">
        <f>SUM(G289:G307)</f>
        <v>210000</v>
      </c>
      <c r="H308" s="408">
        <f>SUM(H289:H307)</f>
        <v>320000</v>
      </c>
      <c r="I308" s="408">
        <f>SUM(I289:I307)</f>
        <v>400000</v>
      </c>
      <c r="J308" s="408">
        <f>SUM(J289:J307)</f>
        <v>480000</v>
      </c>
      <c r="K308" s="428">
        <f>SUM(K289:K307)</f>
        <v>600000</v>
      </c>
      <c r="L308" s="250"/>
    </row>
    <row r="309" spans="1:12">
      <c r="A309" s="206"/>
      <c r="B309" s="35"/>
      <c r="C309" s="12"/>
      <c r="D309" s="12"/>
      <c r="E309" s="71"/>
      <c r="F309" s="72"/>
      <c r="G309" s="390"/>
      <c r="H309" s="399"/>
      <c r="I309" s="399"/>
      <c r="J309" s="399"/>
      <c r="K309" s="424"/>
      <c r="L309" s="245"/>
    </row>
    <row r="310" spans="1:12" s="4" customFormat="1">
      <c r="A310" s="206"/>
      <c r="B310" s="88" t="s">
        <v>30</v>
      </c>
      <c r="C310" s="53"/>
      <c r="D310" s="53"/>
      <c r="E310" s="77"/>
      <c r="F310" s="78"/>
      <c r="G310" s="386"/>
      <c r="H310" s="409"/>
      <c r="I310" s="409"/>
      <c r="J310" s="409"/>
      <c r="K310" s="435"/>
      <c r="L310" s="265"/>
    </row>
    <row r="311" spans="1:12">
      <c r="A311" s="206"/>
      <c r="B311" s="36"/>
      <c r="C311" s="106" t="s">
        <v>9</v>
      </c>
      <c r="D311" s="9"/>
      <c r="E311" s="77"/>
      <c r="F311" s="78"/>
      <c r="G311" s="383"/>
      <c r="H311" s="400"/>
      <c r="I311" s="400"/>
      <c r="J311" s="400"/>
      <c r="K311" s="425"/>
      <c r="L311" s="265"/>
    </row>
    <row r="312" spans="1:12">
      <c r="A312" s="206">
        <v>237</v>
      </c>
      <c r="B312" s="36"/>
      <c r="C312" s="9"/>
      <c r="D312" s="9" t="s">
        <v>83</v>
      </c>
      <c r="E312" s="18" t="s">
        <v>84</v>
      </c>
      <c r="F312" s="19" t="s">
        <v>226</v>
      </c>
      <c r="G312" s="368">
        <f>'Yr 1 Operating Statement of Act'!G312</f>
        <v>0</v>
      </c>
      <c r="H312" s="397">
        <f>SUM(H70*0.02)*0</f>
        <v>0</v>
      </c>
      <c r="I312" s="397">
        <f>SUM(I70*0.02)*0</f>
        <v>0</v>
      </c>
      <c r="J312" s="397">
        <f>SUM(J70*0.02)*0</f>
        <v>0</v>
      </c>
      <c r="K312" s="397">
        <f>SUM(K70*0.02)*0</f>
        <v>0</v>
      </c>
      <c r="L312" s="247"/>
    </row>
    <row r="313" spans="1:12">
      <c r="A313" s="206">
        <v>238</v>
      </c>
      <c r="B313" s="36"/>
      <c r="C313" s="9"/>
      <c r="D313" s="9" t="s">
        <v>184</v>
      </c>
      <c r="E313" s="18" t="s">
        <v>185</v>
      </c>
      <c r="F313" s="19">
        <v>2830</v>
      </c>
      <c r="G313" s="368">
        <f>'Yr 1 Operating Statement of Act'!G313</f>
        <v>1944</v>
      </c>
      <c r="H313" s="397">
        <f>G313</f>
        <v>1944</v>
      </c>
      <c r="I313" s="397">
        <f t="shared" ref="I313:K313" si="67">H313</f>
        <v>1944</v>
      </c>
      <c r="J313" s="397">
        <f t="shared" si="67"/>
        <v>1944</v>
      </c>
      <c r="K313" s="397">
        <f t="shared" si="67"/>
        <v>1944</v>
      </c>
      <c r="L313" s="247"/>
    </row>
    <row r="314" spans="1:12">
      <c r="A314" s="206">
        <v>239</v>
      </c>
      <c r="B314" s="36"/>
      <c r="C314" s="9"/>
      <c r="D314" s="9" t="s">
        <v>131</v>
      </c>
      <c r="E314" s="18" t="s">
        <v>132</v>
      </c>
      <c r="F314" s="19" t="s">
        <v>183</v>
      </c>
      <c r="G314" s="368">
        <f>'Yr 1 Operating Statement of Act'!G314</f>
        <v>0</v>
      </c>
      <c r="H314" s="368">
        <f>'Yr 1 Operating Statement of Act'!H314</f>
        <v>0</v>
      </c>
      <c r="I314" s="368">
        <f>'Yr 1 Operating Statement of Act'!I314</f>
        <v>0</v>
      </c>
      <c r="J314" s="368">
        <f>'Yr 1 Operating Statement of Act'!J314</f>
        <v>0</v>
      </c>
      <c r="K314" s="368">
        <f>'Yr 1 Operating Statement of Act'!K314</f>
        <v>0</v>
      </c>
      <c r="L314" s="247"/>
    </row>
    <row r="315" spans="1:12">
      <c r="A315" s="206">
        <v>240</v>
      </c>
      <c r="B315" s="36"/>
      <c r="C315" s="9" t="s">
        <v>186</v>
      </c>
      <c r="D315" s="9"/>
      <c r="E315" s="104" t="s">
        <v>221</v>
      </c>
      <c r="F315" s="105" t="s">
        <v>226</v>
      </c>
      <c r="G315" s="368">
        <f>'Yr 1 Operating Statement of Act'!G315</f>
        <v>4050</v>
      </c>
      <c r="H315" s="397">
        <f>$G315/Assumptions!$B$18*Assumptions!C$18</f>
        <v>5400</v>
      </c>
      <c r="I315" s="397">
        <f>$G315/Assumptions!$B$18*Assumptions!D$18</f>
        <v>6750</v>
      </c>
      <c r="J315" s="397">
        <f>$G315/Assumptions!$B$18*Assumptions!E$18</f>
        <v>8100</v>
      </c>
      <c r="K315" s="397">
        <f>$G315/Assumptions!$B$18*Assumptions!F$18</f>
        <v>8100</v>
      </c>
      <c r="L315" s="269"/>
    </row>
    <row r="316" spans="1:12">
      <c r="A316" s="206">
        <v>241</v>
      </c>
      <c r="B316" s="36"/>
      <c r="C316" s="9" t="s">
        <v>295</v>
      </c>
      <c r="D316" s="9"/>
      <c r="E316" s="18" t="s">
        <v>97</v>
      </c>
      <c r="F316" s="19" t="s">
        <v>226</v>
      </c>
      <c r="G316" s="368">
        <f>'Yr 1 Operating Statement of Act'!G316</f>
        <v>0</v>
      </c>
      <c r="H316" s="368">
        <f>G316</f>
        <v>0</v>
      </c>
      <c r="I316" s="368">
        <f>'Yr 1 Operating Statement of Act'!I316</f>
        <v>0</v>
      </c>
      <c r="J316" s="368">
        <f>'Yr 1 Operating Statement of Act'!J316</f>
        <v>0</v>
      </c>
      <c r="K316" s="368">
        <f>'Yr 1 Operating Statement of Act'!K316</f>
        <v>0</v>
      </c>
      <c r="L316" s="247"/>
    </row>
    <row r="317" spans="1:12">
      <c r="A317" s="206">
        <v>242</v>
      </c>
      <c r="B317" s="36"/>
      <c r="C317" s="9" t="s">
        <v>98</v>
      </c>
      <c r="D317" s="9"/>
      <c r="E317" s="18" t="s">
        <v>99</v>
      </c>
      <c r="F317" s="19" t="s">
        <v>226</v>
      </c>
      <c r="G317" s="368">
        <f>'Yr 1 Operating Statement of Act'!G317</f>
        <v>0</v>
      </c>
      <c r="H317" s="368">
        <f t="shared" ref="H317:H321" si="68">G317</f>
        <v>0</v>
      </c>
      <c r="I317" s="368">
        <f>'Yr 1 Operating Statement of Act'!I317</f>
        <v>0</v>
      </c>
      <c r="J317" s="368">
        <f>'Yr 1 Operating Statement of Act'!J317</f>
        <v>0</v>
      </c>
      <c r="K317" s="368">
        <f>'Yr 1 Operating Statement of Act'!K317</f>
        <v>0</v>
      </c>
      <c r="L317" s="247"/>
    </row>
    <row r="318" spans="1:12">
      <c r="A318" s="206">
        <v>243</v>
      </c>
      <c r="B318" s="36"/>
      <c r="C318" s="9" t="s">
        <v>100</v>
      </c>
      <c r="D318" s="9"/>
      <c r="E318" s="18" t="s">
        <v>101</v>
      </c>
      <c r="F318" s="19" t="s">
        <v>226</v>
      </c>
      <c r="G318" s="368">
        <f>'Yr 1 Operating Statement of Act'!G318</f>
        <v>0</v>
      </c>
      <c r="H318" s="368">
        <f t="shared" si="68"/>
        <v>0</v>
      </c>
      <c r="I318" s="368">
        <f>'Yr 1 Operating Statement of Act'!I318</f>
        <v>0</v>
      </c>
      <c r="J318" s="368">
        <f>'Yr 1 Operating Statement of Act'!J318</f>
        <v>0</v>
      </c>
      <c r="K318" s="368">
        <f>'Yr 1 Operating Statement of Act'!K318</f>
        <v>0</v>
      </c>
      <c r="L318" s="247"/>
    </row>
    <row r="319" spans="1:12">
      <c r="A319" s="206">
        <v>244</v>
      </c>
      <c r="B319" s="36"/>
      <c r="C319" s="9" t="s">
        <v>219</v>
      </c>
      <c r="D319" s="9"/>
      <c r="E319" s="18" t="s">
        <v>220</v>
      </c>
      <c r="F319" s="19" t="s">
        <v>226</v>
      </c>
      <c r="G319" s="368">
        <f>'Yr 1 Operating Statement of Act'!G319</f>
        <v>0</v>
      </c>
      <c r="H319" s="368">
        <f t="shared" si="68"/>
        <v>0</v>
      </c>
      <c r="I319" s="368">
        <f>'Yr 1 Operating Statement of Act'!I319</f>
        <v>0</v>
      </c>
      <c r="J319" s="368">
        <f>'Yr 1 Operating Statement of Act'!J319</f>
        <v>0</v>
      </c>
      <c r="K319" s="368">
        <f>'Yr 1 Operating Statement of Act'!K319</f>
        <v>0</v>
      </c>
      <c r="L319" s="247"/>
    </row>
    <row r="320" spans="1:12">
      <c r="A320" s="206">
        <v>245</v>
      </c>
      <c r="B320" s="36"/>
      <c r="C320" s="9" t="s">
        <v>102</v>
      </c>
      <c r="D320" s="9"/>
      <c r="E320" s="18" t="s">
        <v>103</v>
      </c>
      <c r="F320" s="19" t="s">
        <v>226</v>
      </c>
      <c r="G320" s="368">
        <f>'Yr 1 Operating Statement of Act'!G320</f>
        <v>0</v>
      </c>
      <c r="H320" s="368">
        <f t="shared" si="68"/>
        <v>0</v>
      </c>
      <c r="I320" s="368">
        <f>'Yr 1 Operating Statement of Act'!I320</f>
        <v>0</v>
      </c>
      <c r="J320" s="368">
        <f>'Yr 1 Operating Statement of Act'!J320</f>
        <v>0</v>
      </c>
      <c r="K320" s="368">
        <f>'Yr 1 Operating Statement of Act'!K320</f>
        <v>0</v>
      </c>
      <c r="L320" s="247"/>
    </row>
    <row r="321" spans="1:12">
      <c r="A321" s="206">
        <v>246</v>
      </c>
      <c r="B321" s="36"/>
      <c r="C321" s="9" t="s">
        <v>104</v>
      </c>
      <c r="D321" s="9"/>
      <c r="E321" s="18" t="s">
        <v>105</v>
      </c>
      <c r="F321" s="19" t="s">
        <v>226</v>
      </c>
      <c r="G321" s="368">
        <f>'Yr 1 Operating Statement of Act'!G321</f>
        <v>0</v>
      </c>
      <c r="H321" s="368">
        <f t="shared" si="68"/>
        <v>0</v>
      </c>
      <c r="I321" s="368">
        <f>'Yr 1 Operating Statement of Act'!I321</f>
        <v>0</v>
      </c>
      <c r="J321" s="368">
        <f>'Yr 1 Operating Statement of Act'!J321</f>
        <v>0</v>
      </c>
      <c r="K321" s="368">
        <f>'Yr 1 Operating Statement of Act'!K321</f>
        <v>0</v>
      </c>
      <c r="L321" s="247"/>
    </row>
    <row r="322" spans="1:12">
      <c r="A322" s="206">
        <v>247</v>
      </c>
      <c r="B322" s="36"/>
      <c r="C322" s="85"/>
      <c r="D322" s="9"/>
      <c r="E322" s="18"/>
      <c r="F322" s="19"/>
      <c r="G322" s="365"/>
      <c r="H322" s="397"/>
      <c r="I322" s="397"/>
      <c r="J322" s="397"/>
      <c r="K322" s="366"/>
      <c r="L322" s="247"/>
    </row>
    <row r="323" spans="1:12">
      <c r="A323" s="206">
        <v>248</v>
      </c>
      <c r="B323" s="83"/>
      <c r="D323" s="13"/>
      <c r="E323" s="14"/>
      <c r="F323" s="15"/>
      <c r="G323" s="380"/>
      <c r="H323" s="405"/>
      <c r="I323" s="405"/>
      <c r="J323" s="405"/>
      <c r="K323" s="432"/>
      <c r="L323" s="262"/>
    </row>
    <row r="324" spans="1:12">
      <c r="A324" s="207">
        <v>249</v>
      </c>
      <c r="B324" s="87" t="s">
        <v>188</v>
      </c>
      <c r="C324" s="51"/>
      <c r="D324" s="51"/>
      <c r="E324" s="49"/>
      <c r="F324" s="50"/>
      <c r="G324" s="384">
        <f>SUM(G312:G323)</f>
        <v>5994</v>
      </c>
      <c r="H324" s="408">
        <f>SUM(H312:H323)</f>
        <v>7344</v>
      </c>
      <c r="I324" s="408">
        <f>SUM(I312:I323)</f>
        <v>8694</v>
      </c>
      <c r="J324" s="408">
        <f>SUM(J312:J323)</f>
        <v>10044</v>
      </c>
      <c r="K324" s="428">
        <f>SUM(K312:K323)</f>
        <v>10044</v>
      </c>
      <c r="L324" s="250"/>
    </row>
    <row r="325" spans="1:12" s="13" customFormat="1">
      <c r="A325" s="204"/>
      <c r="B325" s="81"/>
      <c r="C325" s="58"/>
      <c r="D325" s="58"/>
      <c r="E325" s="22"/>
      <c r="F325" s="23"/>
      <c r="G325" s="385"/>
      <c r="H325" s="401"/>
      <c r="I325" s="401"/>
      <c r="J325" s="401"/>
      <c r="K325" s="427"/>
      <c r="L325" s="248"/>
    </row>
    <row r="326" spans="1:12" s="13" customFormat="1" ht="15" thickBot="1">
      <c r="A326" s="203"/>
      <c r="B326" s="34"/>
      <c r="C326" s="20"/>
      <c r="D326" s="20"/>
      <c r="E326" s="14"/>
      <c r="F326" s="15"/>
      <c r="G326" s="380"/>
      <c r="H326" s="405"/>
      <c r="I326" s="405"/>
      <c r="J326" s="405"/>
      <c r="K326" s="432"/>
      <c r="L326" s="262"/>
    </row>
    <row r="327" spans="1:12" ht="15" thickBot="1">
      <c r="A327" s="212">
        <v>250</v>
      </c>
      <c r="B327" s="75" t="s">
        <v>230</v>
      </c>
      <c r="C327" s="76"/>
      <c r="D327" s="76"/>
      <c r="E327" s="45"/>
      <c r="F327" s="46"/>
      <c r="G327" s="387">
        <f>G171+G188+G204+G229+G254+G286+G308+G324</f>
        <v>1758057.9580337165</v>
      </c>
      <c r="H327" s="410">
        <f>H171+H188+H204+H229+H254+H286+H308+H324</f>
        <v>2081235.9362491977</v>
      </c>
      <c r="I327" s="410">
        <f>I171+I188+I204+I229+I254+I286+I308+I324</f>
        <v>2359418.2608773606</v>
      </c>
      <c r="J327" s="410">
        <f>J171+J188+J204+J229+J254+J286+J308+J324</f>
        <v>2635140.8046957953</v>
      </c>
      <c r="K327" s="431">
        <f>K171+K188+K204+K229+K254+K286+K308+K324</f>
        <v>2795264.6821638867</v>
      </c>
      <c r="L327" s="266"/>
    </row>
    <row r="328" spans="1:12" ht="15" thickBot="1">
      <c r="A328" s="211"/>
      <c r="B328" s="35"/>
      <c r="C328" s="12"/>
      <c r="D328" s="12"/>
      <c r="E328" s="97"/>
      <c r="F328" s="98"/>
      <c r="G328" s="391"/>
      <c r="H328" s="403"/>
      <c r="I328" s="403"/>
      <c r="J328" s="403"/>
      <c r="K328" s="429"/>
      <c r="L328" s="270"/>
    </row>
    <row r="329" spans="1:12" ht="15" thickBot="1">
      <c r="A329" s="212"/>
      <c r="B329" s="75" t="s">
        <v>189</v>
      </c>
      <c r="C329" s="76"/>
      <c r="D329" s="76"/>
      <c r="E329" s="121"/>
      <c r="F329" s="122"/>
      <c r="G329" s="392"/>
      <c r="H329" s="413"/>
      <c r="I329" s="413"/>
      <c r="J329" s="413"/>
      <c r="K329" s="438"/>
      <c r="L329" s="271"/>
    </row>
    <row r="330" spans="1:12" s="4" customFormat="1">
      <c r="A330" s="206"/>
      <c r="B330" s="88" t="s">
        <v>288</v>
      </c>
      <c r="C330" s="53"/>
      <c r="D330" s="53"/>
      <c r="E330" s="77"/>
      <c r="F330" s="78"/>
      <c r="G330" s="386"/>
      <c r="H330" s="409"/>
      <c r="I330" s="409"/>
      <c r="J330" s="409"/>
      <c r="K330" s="435"/>
      <c r="L330" s="265"/>
    </row>
    <row r="331" spans="1:12">
      <c r="A331" s="206">
        <v>251</v>
      </c>
      <c r="B331" s="36"/>
      <c r="C331" s="9" t="s">
        <v>190</v>
      </c>
      <c r="D331" s="9"/>
      <c r="E331" s="18" t="s">
        <v>222</v>
      </c>
      <c r="F331" s="19">
        <v>3100</v>
      </c>
      <c r="G331" s="368">
        <f>'Yr 1 Operating Statement of Act'!G331</f>
        <v>0</v>
      </c>
      <c r="H331" s="368">
        <f>'Yr 1 Operating Statement of Act'!H331</f>
        <v>0</v>
      </c>
      <c r="I331" s="368">
        <f>'Yr 1 Operating Statement of Act'!I331</f>
        <v>0</v>
      </c>
      <c r="J331" s="368">
        <f>'Yr 1 Operating Statement of Act'!J331</f>
        <v>0</v>
      </c>
      <c r="K331" s="368">
        <f>'Yr 1 Operating Statement of Act'!K331</f>
        <v>0</v>
      </c>
      <c r="L331" s="247"/>
    </row>
    <row r="332" spans="1:12">
      <c r="A332" s="206">
        <v>252</v>
      </c>
      <c r="B332" s="36"/>
      <c r="C332" s="9" t="s">
        <v>250</v>
      </c>
      <c r="D332" s="9"/>
      <c r="E332" s="18" t="s">
        <v>251</v>
      </c>
      <c r="F332" s="19" t="s">
        <v>191</v>
      </c>
      <c r="G332" s="368">
        <f>'Yr 1 Operating Statement of Act'!G332</f>
        <v>0</v>
      </c>
      <c r="H332" s="368">
        <f>'Yr 1 Operating Statement of Act'!H332</f>
        <v>0</v>
      </c>
      <c r="I332" s="368">
        <f>'Yr 1 Operating Statement of Act'!I332</f>
        <v>0</v>
      </c>
      <c r="J332" s="368">
        <f>'Yr 1 Operating Statement of Act'!J332</f>
        <v>0</v>
      </c>
      <c r="K332" s="368">
        <f>'Yr 1 Operating Statement of Act'!K332</f>
        <v>0</v>
      </c>
      <c r="L332" s="247"/>
    </row>
    <row r="333" spans="1:12">
      <c r="A333" s="206">
        <v>253</v>
      </c>
      <c r="B333" s="36"/>
      <c r="C333" s="9" t="s">
        <v>192</v>
      </c>
      <c r="D333" s="9"/>
      <c r="E333" s="18" t="s">
        <v>193</v>
      </c>
      <c r="F333" s="19" t="s">
        <v>191</v>
      </c>
      <c r="G333" s="368">
        <f>'Yr 1 Operating Statement of Act'!G333</f>
        <v>270000</v>
      </c>
      <c r="H333" s="397">
        <f>Assumptions!C18*'Assumptions Expenses'!E34</f>
        <v>360000</v>
      </c>
      <c r="I333" s="397">
        <f>Assumptions!D18*'Assumptions Expenses'!G34</f>
        <v>450000</v>
      </c>
      <c r="J333" s="397">
        <f>Assumptions!E18*'Assumptions Expenses'!I34</f>
        <v>540000</v>
      </c>
      <c r="K333" s="366">
        <f>Assumptions!F18*'Assumptions Expenses'!K34</f>
        <v>540000</v>
      </c>
      <c r="L333" s="247"/>
    </row>
    <row r="334" spans="1:12">
      <c r="A334" s="206">
        <v>254</v>
      </c>
      <c r="B334" s="36"/>
      <c r="C334" s="9" t="s">
        <v>227</v>
      </c>
      <c r="D334" s="9"/>
      <c r="E334" s="18" t="s">
        <v>224</v>
      </c>
      <c r="F334" s="19" t="s">
        <v>191</v>
      </c>
      <c r="G334" s="368">
        <f>'Yr 1 Operating Statement of Act'!G334</f>
        <v>0</v>
      </c>
      <c r="H334" s="368">
        <f>'Yr 1 Operating Statement of Act'!H334</f>
        <v>0</v>
      </c>
      <c r="I334" s="368">
        <f>'Yr 1 Operating Statement of Act'!I334</f>
        <v>0</v>
      </c>
      <c r="J334" s="368">
        <f>'Yr 1 Operating Statement of Act'!J334</f>
        <v>0</v>
      </c>
      <c r="K334" s="368">
        <f>'Yr 1 Operating Statement of Act'!K334</f>
        <v>0</v>
      </c>
      <c r="L334" s="247"/>
    </row>
    <row r="335" spans="1:12">
      <c r="A335" s="206">
        <v>255</v>
      </c>
      <c r="B335" s="36"/>
      <c r="C335" s="9" t="s">
        <v>110</v>
      </c>
      <c r="D335" s="9"/>
      <c r="E335" s="18" t="s">
        <v>90</v>
      </c>
      <c r="F335" s="19" t="s">
        <v>191</v>
      </c>
      <c r="G335" s="368">
        <f>'Yr 1 Operating Statement of Act'!G335</f>
        <v>0</v>
      </c>
      <c r="H335" s="368">
        <f>'Yr 1 Operating Statement of Act'!H335</f>
        <v>0</v>
      </c>
      <c r="I335" s="368">
        <f>'Yr 1 Operating Statement of Act'!I335</f>
        <v>0</v>
      </c>
      <c r="J335" s="368">
        <f>'Yr 1 Operating Statement of Act'!J335</f>
        <v>0</v>
      </c>
      <c r="K335" s="368">
        <f>'Yr 1 Operating Statement of Act'!K335</f>
        <v>0</v>
      </c>
      <c r="L335" s="247"/>
    </row>
    <row r="336" spans="1:12">
      <c r="A336" s="206">
        <v>256</v>
      </c>
      <c r="B336" s="36"/>
      <c r="C336" s="9" t="s">
        <v>0</v>
      </c>
      <c r="D336" s="9"/>
      <c r="E336" s="18" t="s">
        <v>194</v>
      </c>
      <c r="F336" s="19" t="s">
        <v>191</v>
      </c>
      <c r="G336" s="368">
        <f>'Yr 1 Operating Statement of Act'!G336</f>
        <v>0</v>
      </c>
      <c r="H336" s="368">
        <f>'Yr 1 Operating Statement of Act'!H336</f>
        <v>0</v>
      </c>
      <c r="I336" s="368">
        <f>'Yr 1 Operating Statement of Act'!I336</f>
        <v>0</v>
      </c>
      <c r="J336" s="368">
        <f>'Yr 1 Operating Statement of Act'!J336</f>
        <v>0</v>
      </c>
      <c r="K336" s="368">
        <f>'Yr 1 Operating Statement of Act'!K336</f>
        <v>0</v>
      </c>
      <c r="L336" s="247"/>
    </row>
    <row r="337" spans="1:12">
      <c r="A337" s="206">
        <v>257</v>
      </c>
      <c r="B337" s="36"/>
      <c r="C337" s="9" t="s">
        <v>187</v>
      </c>
      <c r="D337" s="9"/>
      <c r="E337" s="18" t="s">
        <v>149</v>
      </c>
      <c r="F337" s="19" t="s">
        <v>191</v>
      </c>
      <c r="G337" s="368">
        <f>'Yr 1 Operating Statement of Act'!G337</f>
        <v>0</v>
      </c>
      <c r="H337" s="368">
        <f>'Yr 1 Operating Statement of Act'!H337</f>
        <v>0</v>
      </c>
      <c r="I337" s="368">
        <f>'Yr 1 Operating Statement of Act'!I337</f>
        <v>0</v>
      </c>
      <c r="J337" s="368">
        <f>'Yr 1 Operating Statement of Act'!J337</f>
        <v>0</v>
      </c>
      <c r="K337" s="368">
        <f>'Yr 1 Operating Statement of Act'!K337</f>
        <v>0</v>
      </c>
      <c r="L337" s="247"/>
    </row>
    <row r="338" spans="1:12">
      <c r="A338" s="206">
        <v>258</v>
      </c>
      <c r="B338" s="36"/>
      <c r="C338" s="9" t="s">
        <v>228</v>
      </c>
      <c r="D338" s="9"/>
      <c r="E338" s="18" t="s">
        <v>229</v>
      </c>
      <c r="F338" s="19">
        <v>3100</v>
      </c>
      <c r="G338" s="368">
        <f>'Yr 1 Operating Statement of Act'!G338</f>
        <v>0</v>
      </c>
      <c r="H338" s="368">
        <f>'Yr 1 Operating Statement of Act'!H338</f>
        <v>0</v>
      </c>
      <c r="I338" s="368">
        <f>'Yr 1 Operating Statement of Act'!I338</f>
        <v>0</v>
      </c>
      <c r="J338" s="368">
        <f>'Yr 1 Operating Statement of Act'!J338</f>
        <v>0</v>
      </c>
      <c r="K338" s="368">
        <f>'Yr 1 Operating Statement of Act'!K338</f>
        <v>0</v>
      </c>
      <c r="L338" s="247"/>
    </row>
    <row r="339" spans="1:12">
      <c r="A339" s="206">
        <v>259</v>
      </c>
      <c r="B339" s="36"/>
      <c r="C339" s="9" t="s">
        <v>143</v>
      </c>
      <c r="D339" s="9"/>
      <c r="E339" s="18" t="s">
        <v>144</v>
      </c>
      <c r="F339" s="19" t="s">
        <v>191</v>
      </c>
      <c r="G339" s="368">
        <f>'Yr 1 Operating Statement of Act'!G339</f>
        <v>0</v>
      </c>
      <c r="H339" s="368">
        <f>'Yr 1 Operating Statement of Act'!H339</f>
        <v>0</v>
      </c>
      <c r="I339" s="368">
        <f>'Yr 1 Operating Statement of Act'!I339</f>
        <v>0</v>
      </c>
      <c r="J339" s="368">
        <f>'Yr 1 Operating Statement of Act'!J339</f>
        <v>0</v>
      </c>
      <c r="K339" s="368">
        <f>'Yr 1 Operating Statement of Act'!K339</f>
        <v>0</v>
      </c>
      <c r="L339" s="247"/>
    </row>
    <row r="340" spans="1:12">
      <c r="A340" s="206">
        <v>260</v>
      </c>
      <c r="B340" s="36"/>
      <c r="C340" s="9" t="s">
        <v>93</v>
      </c>
      <c r="D340" s="9"/>
      <c r="E340" s="18" t="s">
        <v>94</v>
      </c>
      <c r="F340" s="19" t="s">
        <v>191</v>
      </c>
      <c r="G340" s="368">
        <f>'Yr 1 Operating Statement of Act'!G340</f>
        <v>0</v>
      </c>
      <c r="H340" s="368">
        <v>0</v>
      </c>
      <c r="I340" s="368">
        <f>'Yr 1 Operating Statement of Act'!I340</f>
        <v>0</v>
      </c>
      <c r="J340" s="368">
        <f>'Yr 1 Operating Statement of Act'!J340</f>
        <v>0</v>
      </c>
      <c r="K340" s="368">
        <f>'Yr 1 Operating Statement of Act'!K340</f>
        <v>0</v>
      </c>
      <c r="L340" s="247"/>
    </row>
    <row r="341" spans="1:12">
      <c r="A341" s="206">
        <v>261</v>
      </c>
      <c r="B341" s="36"/>
      <c r="C341" s="9" t="s">
        <v>295</v>
      </c>
      <c r="D341" s="9"/>
      <c r="E341" s="18" t="s">
        <v>97</v>
      </c>
      <c r="F341" s="19" t="s">
        <v>12</v>
      </c>
      <c r="G341" s="368">
        <f>'Yr 1 Operating Statement of Act'!G341</f>
        <v>0</v>
      </c>
      <c r="H341" s="368">
        <v>0</v>
      </c>
      <c r="I341" s="368">
        <f>'Yr 1 Operating Statement of Act'!I341</f>
        <v>0</v>
      </c>
      <c r="J341" s="368">
        <f>'Yr 1 Operating Statement of Act'!J341</f>
        <v>0</v>
      </c>
      <c r="K341" s="368">
        <f>'Yr 1 Operating Statement of Act'!K341</f>
        <v>0</v>
      </c>
      <c r="L341" s="247"/>
    </row>
    <row r="342" spans="1:12">
      <c r="A342" s="206">
        <v>262</v>
      </c>
      <c r="B342" s="36"/>
      <c r="C342" s="9" t="s">
        <v>98</v>
      </c>
      <c r="D342" s="9"/>
      <c r="E342" s="18" t="s">
        <v>99</v>
      </c>
      <c r="F342" s="19" t="s">
        <v>12</v>
      </c>
      <c r="G342" s="368">
        <f>'Yr 1 Operating Statement of Act'!G342</f>
        <v>0</v>
      </c>
      <c r="H342" s="368">
        <v>0</v>
      </c>
      <c r="I342" s="368">
        <f>'Yr 1 Operating Statement of Act'!I342</f>
        <v>0</v>
      </c>
      <c r="J342" s="368">
        <f>'Yr 1 Operating Statement of Act'!J342</f>
        <v>0</v>
      </c>
      <c r="K342" s="368">
        <f>'Yr 1 Operating Statement of Act'!K342</f>
        <v>0</v>
      </c>
      <c r="L342" s="247"/>
    </row>
    <row r="343" spans="1:12">
      <c r="A343" s="206">
        <v>263</v>
      </c>
      <c r="B343" s="36"/>
      <c r="C343" s="9" t="s">
        <v>100</v>
      </c>
      <c r="D343" s="9"/>
      <c r="E343" s="18" t="s">
        <v>101</v>
      </c>
      <c r="F343" s="19" t="s">
        <v>12</v>
      </c>
      <c r="G343" s="368">
        <f>'Yr 1 Operating Statement of Act'!G343</f>
        <v>0</v>
      </c>
      <c r="H343" s="368">
        <v>0</v>
      </c>
      <c r="I343" s="368">
        <f>'Yr 1 Operating Statement of Act'!I343</f>
        <v>0</v>
      </c>
      <c r="J343" s="368">
        <f>'Yr 1 Operating Statement of Act'!J343</f>
        <v>0</v>
      </c>
      <c r="K343" s="368">
        <f>'Yr 1 Operating Statement of Act'!K343</f>
        <v>0</v>
      </c>
      <c r="L343" s="247"/>
    </row>
    <row r="344" spans="1:12">
      <c r="A344" s="206">
        <v>264</v>
      </c>
      <c r="B344" s="36"/>
      <c r="C344" s="9" t="s">
        <v>219</v>
      </c>
      <c r="D344" s="9"/>
      <c r="E344" s="18" t="s">
        <v>220</v>
      </c>
      <c r="F344" s="19" t="s">
        <v>12</v>
      </c>
      <c r="G344" s="368">
        <f>'Yr 1 Operating Statement of Act'!G344</f>
        <v>0</v>
      </c>
      <c r="H344" s="368">
        <v>0</v>
      </c>
      <c r="I344" s="368">
        <f>'Yr 1 Operating Statement of Act'!I344</f>
        <v>0</v>
      </c>
      <c r="J344" s="368">
        <f>'Yr 1 Operating Statement of Act'!J344</f>
        <v>0</v>
      </c>
      <c r="K344" s="368">
        <f>'Yr 1 Operating Statement of Act'!K344</f>
        <v>0</v>
      </c>
      <c r="L344" s="247"/>
    </row>
    <row r="345" spans="1:12">
      <c r="A345" s="206">
        <v>265</v>
      </c>
      <c r="B345" s="36"/>
      <c r="C345" s="9" t="s">
        <v>102</v>
      </c>
      <c r="D345" s="9"/>
      <c r="E345" s="18" t="s">
        <v>103</v>
      </c>
      <c r="F345" s="19" t="s">
        <v>12</v>
      </c>
      <c r="G345" s="368">
        <f>'Yr 1 Operating Statement of Act'!G345</f>
        <v>0</v>
      </c>
      <c r="H345" s="368">
        <v>0</v>
      </c>
      <c r="I345" s="368">
        <f>'Yr 1 Operating Statement of Act'!I345</f>
        <v>0</v>
      </c>
      <c r="J345" s="368">
        <f>'Yr 1 Operating Statement of Act'!J345</f>
        <v>0</v>
      </c>
      <c r="K345" s="368">
        <f>'Yr 1 Operating Statement of Act'!K345</f>
        <v>0</v>
      </c>
      <c r="L345" s="247"/>
    </row>
    <row r="346" spans="1:12">
      <c r="A346" s="206">
        <v>266</v>
      </c>
      <c r="B346" s="36"/>
      <c r="C346" s="9" t="s">
        <v>104</v>
      </c>
      <c r="D346" s="9"/>
      <c r="E346" s="18" t="s">
        <v>105</v>
      </c>
      <c r="F346" s="19" t="s">
        <v>12</v>
      </c>
      <c r="G346" s="368">
        <f>'Yr 1 Operating Statement of Act'!G346</f>
        <v>0</v>
      </c>
      <c r="H346" s="368">
        <v>0</v>
      </c>
      <c r="I346" s="368">
        <f>'Yr 1 Operating Statement of Act'!I346</f>
        <v>0</v>
      </c>
      <c r="J346" s="368">
        <f>'Yr 1 Operating Statement of Act'!J346</f>
        <v>0</v>
      </c>
      <c r="K346" s="368">
        <f>'Yr 1 Operating Statement of Act'!K346</f>
        <v>0</v>
      </c>
      <c r="L346" s="247"/>
    </row>
    <row r="347" spans="1:12">
      <c r="A347" s="206">
        <v>267</v>
      </c>
      <c r="B347" s="36"/>
      <c r="C347" s="85" t="s">
        <v>283</v>
      </c>
      <c r="D347" s="9"/>
      <c r="E347" s="18"/>
      <c r="F347" s="19"/>
      <c r="G347" s="365"/>
      <c r="H347" s="397"/>
      <c r="I347" s="397"/>
      <c r="J347" s="397"/>
      <c r="K347" s="366"/>
      <c r="L347" s="247"/>
    </row>
    <row r="348" spans="1:12">
      <c r="A348" s="206">
        <v>268</v>
      </c>
      <c r="B348" s="36"/>
      <c r="C348" s="85"/>
      <c r="D348" s="9"/>
      <c r="E348" s="18"/>
      <c r="F348" s="19"/>
      <c r="G348" s="365"/>
      <c r="H348" s="397"/>
      <c r="I348" s="397"/>
      <c r="J348" s="397"/>
      <c r="K348" s="366"/>
      <c r="L348" s="247"/>
    </row>
    <row r="349" spans="1:12">
      <c r="A349" s="206">
        <v>269</v>
      </c>
      <c r="B349" s="83"/>
      <c r="D349" s="13"/>
      <c r="E349" s="14"/>
      <c r="F349" s="15"/>
      <c r="G349" s="380"/>
      <c r="H349" s="405"/>
      <c r="I349" s="405"/>
      <c r="J349" s="405"/>
      <c r="K349" s="432"/>
      <c r="L349" s="262"/>
    </row>
    <row r="350" spans="1:12">
      <c r="A350" s="207">
        <v>270</v>
      </c>
      <c r="B350" s="87" t="s">
        <v>195</v>
      </c>
      <c r="C350" s="51"/>
      <c r="D350" s="51"/>
      <c r="E350" s="49"/>
      <c r="F350" s="50"/>
      <c r="G350" s="384">
        <f>SUM(G331:G349)</f>
        <v>270000</v>
      </c>
      <c r="H350" s="408">
        <f>SUM(H331:H349)</f>
        <v>360000</v>
      </c>
      <c r="I350" s="408">
        <f>SUM(I331:I349)</f>
        <v>450000</v>
      </c>
      <c r="J350" s="408">
        <f>SUM(J331:J349)</f>
        <v>540000</v>
      </c>
      <c r="K350" s="428">
        <f>SUM(K331:K349)</f>
        <v>540000</v>
      </c>
      <c r="L350" s="250"/>
    </row>
    <row r="351" spans="1:12" ht="6" customHeight="1">
      <c r="A351" s="206"/>
      <c r="B351" s="36"/>
      <c r="C351" s="9"/>
      <c r="D351" s="9"/>
      <c r="E351" s="18"/>
      <c r="F351" s="19"/>
      <c r="G351" s="365"/>
      <c r="H351" s="397"/>
      <c r="I351" s="397"/>
      <c r="J351" s="397"/>
      <c r="K351" s="366"/>
      <c r="L351" s="247"/>
    </row>
    <row r="352" spans="1:12" ht="7.5" customHeight="1">
      <c r="A352" s="206"/>
      <c r="B352" s="36"/>
      <c r="C352" s="9"/>
      <c r="D352" s="9"/>
      <c r="E352" s="18"/>
      <c r="F352" s="19"/>
      <c r="G352" s="365"/>
      <c r="H352" s="397"/>
      <c r="I352" s="397"/>
      <c r="J352" s="397"/>
      <c r="K352" s="366"/>
      <c r="L352" s="247"/>
    </row>
    <row r="353" spans="1:12" s="4" customFormat="1">
      <c r="A353" s="206" t="s">
        <v>33</v>
      </c>
      <c r="B353" s="88" t="s">
        <v>289</v>
      </c>
      <c r="C353" s="53"/>
      <c r="D353" s="53"/>
      <c r="E353" s="61"/>
      <c r="F353" s="62"/>
      <c r="G353" s="383"/>
      <c r="H353" s="400"/>
      <c r="I353" s="400"/>
      <c r="J353" s="400"/>
      <c r="K353" s="425"/>
      <c r="L353" s="246"/>
    </row>
    <row r="354" spans="1:12">
      <c r="A354" s="206">
        <v>271</v>
      </c>
      <c r="B354" s="36"/>
      <c r="C354" s="9" t="s">
        <v>76</v>
      </c>
      <c r="D354" s="9"/>
      <c r="E354" s="18" t="s">
        <v>222</v>
      </c>
      <c r="F354" s="19" t="s">
        <v>13</v>
      </c>
      <c r="G354" s="368">
        <f>'Yr 1 Operating Statement of Act'!G354</f>
        <v>0</v>
      </c>
      <c r="H354" s="368">
        <f>'Yr 1 Operating Statement of Act'!H354</f>
        <v>0</v>
      </c>
      <c r="I354" s="368">
        <f>'Yr 1 Operating Statement of Act'!I354</f>
        <v>0</v>
      </c>
      <c r="J354" s="368">
        <f>'Yr 1 Operating Statement of Act'!J354</f>
        <v>0</v>
      </c>
      <c r="K354" s="368">
        <f>'Yr 1 Operating Statement of Act'!K354</f>
        <v>0</v>
      </c>
      <c r="L354" s="247"/>
    </row>
    <row r="355" spans="1:12">
      <c r="A355" s="206">
        <v>272</v>
      </c>
      <c r="B355" s="36"/>
      <c r="C355" s="9" t="s">
        <v>110</v>
      </c>
      <c r="D355" s="9"/>
      <c r="E355" s="18" t="s">
        <v>90</v>
      </c>
      <c r="F355" s="19" t="s">
        <v>196</v>
      </c>
      <c r="G355" s="368">
        <f>'Yr 1 Operating Statement of Act'!G355</f>
        <v>0</v>
      </c>
      <c r="H355" s="368">
        <f>'Yr 1 Operating Statement of Act'!H355</f>
        <v>0</v>
      </c>
      <c r="I355" s="368">
        <f>'Yr 1 Operating Statement of Act'!I355</f>
        <v>0</v>
      </c>
      <c r="J355" s="368">
        <f>'Yr 1 Operating Statement of Act'!J355</f>
        <v>0</v>
      </c>
      <c r="K355" s="368">
        <f>'Yr 1 Operating Statement of Act'!K355</f>
        <v>0</v>
      </c>
      <c r="L355" s="247"/>
    </row>
    <row r="356" spans="1:12">
      <c r="A356" s="206">
        <v>273</v>
      </c>
      <c r="B356" s="36"/>
      <c r="C356" s="9" t="s">
        <v>295</v>
      </c>
      <c r="D356" s="9"/>
      <c r="E356" s="18" t="s">
        <v>97</v>
      </c>
      <c r="F356" s="19" t="s">
        <v>13</v>
      </c>
      <c r="G356" s="368">
        <f>'Yr 1 Operating Statement of Act'!G356</f>
        <v>0</v>
      </c>
      <c r="H356" s="368">
        <v>0</v>
      </c>
      <c r="I356" s="368">
        <f>'Yr 1 Operating Statement of Act'!I356</f>
        <v>0</v>
      </c>
      <c r="J356" s="368">
        <f>'Yr 1 Operating Statement of Act'!J356</f>
        <v>0</v>
      </c>
      <c r="K356" s="368">
        <f>'Yr 1 Operating Statement of Act'!K356</f>
        <v>0</v>
      </c>
      <c r="L356" s="247"/>
    </row>
    <row r="357" spans="1:12">
      <c r="A357" s="206">
        <v>274</v>
      </c>
      <c r="B357" s="36"/>
      <c r="C357" s="9" t="s">
        <v>98</v>
      </c>
      <c r="D357" s="9"/>
      <c r="E357" s="18" t="s">
        <v>99</v>
      </c>
      <c r="F357" s="19" t="s">
        <v>13</v>
      </c>
      <c r="G357" s="368">
        <f>'Yr 1 Operating Statement of Act'!G357</f>
        <v>0</v>
      </c>
      <c r="H357" s="368">
        <v>0</v>
      </c>
      <c r="I357" s="368">
        <f>'Yr 1 Operating Statement of Act'!I357</f>
        <v>0</v>
      </c>
      <c r="J357" s="368">
        <f>'Yr 1 Operating Statement of Act'!J357</f>
        <v>0</v>
      </c>
      <c r="K357" s="368">
        <f>'Yr 1 Operating Statement of Act'!K357</f>
        <v>0</v>
      </c>
      <c r="L357" s="247"/>
    </row>
    <row r="358" spans="1:12">
      <c r="A358" s="206">
        <v>275</v>
      </c>
      <c r="B358" s="36"/>
      <c r="C358" s="9" t="s">
        <v>100</v>
      </c>
      <c r="D358" s="9"/>
      <c r="E358" s="18" t="s">
        <v>101</v>
      </c>
      <c r="F358" s="19" t="s">
        <v>13</v>
      </c>
      <c r="G358" s="368">
        <f>'Yr 1 Operating Statement of Act'!G358</f>
        <v>0</v>
      </c>
      <c r="H358" s="368">
        <v>0</v>
      </c>
      <c r="I358" s="368">
        <f>'Yr 1 Operating Statement of Act'!I358</f>
        <v>0</v>
      </c>
      <c r="J358" s="368">
        <f>'Yr 1 Operating Statement of Act'!J358</f>
        <v>0</v>
      </c>
      <c r="K358" s="368">
        <f>'Yr 1 Operating Statement of Act'!K358</f>
        <v>0</v>
      </c>
      <c r="L358" s="247"/>
    </row>
    <row r="359" spans="1:12">
      <c r="A359" s="206">
        <v>276</v>
      </c>
      <c r="B359" s="36"/>
      <c r="C359" s="9" t="s">
        <v>219</v>
      </c>
      <c r="D359" s="9"/>
      <c r="E359" s="18" t="s">
        <v>220</v>
      </c>
      <c r="F359" s="19" t="s">
        <v>13</v>
      </c>
      <c r="G359" s="368">
        <f>'Yr 1 Operating Statement of Act'!G359</f>
        <v>0</v>
      </c>
      <c r="H359" s="368">
        <v>0</v>
      </c>
      <c r="I359" s="368">
        <f>'Yr 1 Operating Statement of Act'!I359</f>
        <v>0</v>
      </c>
      <c r="J359" s="368">
        <f>'Yr 1 Operating Statement of Act'!J359</f>
        <v>0</v>
      </c>
      <c r="K359" s="368">
        <f>'Yr 1 Operating Statement of Act'!K359</f>
        <v>0</v>
      </c>
      <c r="L359" s="247"/>
    </row>
    <row r="360" spans="1:12">
      <c r="A360" s="206">
        <v>277</v>
      </c>
      <c r="B360" s="36"/>
      <c r="C360" s="9" t="s">
        <v>102</v>
      </c>
      <c r="D360" s="9"/>
      <c r="E360" s="18" t="s">
        <v>103</v>
      </c>
      <c r="F360" s="19" t="s">
        <v>13</v>
      </c>
      <c r="G360" s="368">
        <f>'Yr 1 Operating Statement of Act'!G360</f>
        <v>0</v>
      </c>
      <c r="H360" s="368">
        <v>0</v>
      </c>
      <c r="I360" s="368">
        <f>'Yr 1 Operating Statement of Act'!I360</f>
        <v>0</v>
      </c>
      <c r="J360" s="368">
        <f>'Yr 1 Operating Statement of Act'!J360</f>
        <v>0</v>
      </c>
      <c r="K360" s="368">
        <f>'Yr 1 Operating Statement of Act'!K360</f>
        <v>0</v>
      </c>
      <c r="L360" s="247"/>
    </row>
    <row r="361" spans="1:12">
      <c r="A361" s="206">
        <v>278</v>
      </c>
      <c r="B361" s="36"/>
      <c r="C361" s="9" t="s">
        <v>104</v>
      </c>
      <c r="D361" s="9"/>
      <c r="E361" s="18" t="s">
        <v>105</v>
      </c>
      <c r="F361" s="19" t="s">
        <v>13</v>
      </c>
      <c r="G361" s="368">
        <f>'Yr 1 Operating Statement of Act'!G361</f>
        <v>0</v>
      </c>
      <c r="H361" s="368">
        <v>0</v>
      </c>
      <c r="I361" s="368">
        <f>'Yr 1 Operating Statement of Act'!I361</f>
        <v>0</v>
      </c>
      <c r="J361" s="368">
        <f>'Yr 1 Operating Statement of Act'!J361</f>
        <v>0</v>
      </c>
      <c r="K361" s="368">
        <f>'Yr 1 Operating Statement of Act'!K361</f>
        <v>0</v>
      </c>
      <c r="L361" s="247"/>
    </row>
    <row r="362" spans="1:12">
      <c r="A362" s="206">
        <v>279</v>
      </c>
      <c r="B362" s="36"/>
      <c r="C362" s="85" t="s">
        <v>283</v>
      </c>
      <c r="D362" s="9"/>
      <c r="E362" s="18"/>
      <c r="F362" s="19"/>
      <c r="G362" s="365"/>
      <c r="H362" s="397"/>
      <c r="I362" s="397"/>
      <c r="J362" s="397"/>
      <c r="K362" s="366"/>
      <c r="L362" s="247"/>
    </row>
    <row r="363" spans="1:12">
      <c r="A363" s="206">
        <v>280</v>
      </c>
      <c r="B363" s="36"/>
      <c r="C363" s="85"/>
      <c r="D363" s="9"/>
      <c r="E363" s="18"/>
      <c r="F363" s="19"/>
      <c r="G363" s="365"/>
      <c r="H363" s="397"/>
      <c r="I363" s="397"/>
      <c r="J363" s="397"/>
      <c r="K363" s="366"/>
      <c r="L363" s="247"/>
    </row>
    <row r="364" spans="1:12">
      <c r="A364" s="206"/>
      <c r="B364" s="83"/>
      <c r="D364" s="13"/>
      <c r="E364" s="14"/>
      <c r="F364" s="15"/>
      <c r="G364" s="380"/>
      <c r="H364" s="405"/>
      <c r="I364" s="405"/>
      <c r="J364" s="405"/>
      <c r="K364" s="432"/>
      <c r="L364" s="262"/>
    </row>
    <row r="365" spans="1:12">
      <c r="A365" s="207">
        <v>281</v>
      </c>
      <c r="B365" s="87" t="s">
        <v>290</v>
      </c>
      <c r="C365" s="51"/>
      <c r="D365" s="51"/>
      <c r="E365" s="49"/>
      <c r="F365" s="50"/>
      <c r="G365" s="384">
        <f>SUM(G354:G364)</f>
        <v>0</v>
      </c>
      <c r="H365" s="408">
        <f>SUM(H354:H364)</f>
        <v>0</v>
      </c>
      <c r="I365" s="408">
        <f>SUM(I354:I364)</f>
        <v>0</v>
      </c>
      <c r="J365" s="408">
        <f>SUM(J354:J364)</f>
        <v>0</v>
      </c>
      <c r="K365" s="428">
        <f>SUM(K354:K364)</f>
        <v>0</v>
      </c>
      <c r="L365" s="250"/>
    </row>
    <row r="366" spans="1:12" ht="15" thickBot="1">
      <c r="A366" s="206"/>
      <c r="B366" s="80"/>
      <c r="C366" s="10"/>
      <c r="D366" s="10"/>
      <c r="E366" s="18"/>
      <c r="F366" s="19"/>
      <c r="G366" s="365"/>
      <c r="H366" s="397"/>
      <c r="I366" s="397"/>
      <c r="J366" s="397"/>
      <c r="K366" s="366"/>
      <c r="L366" s="247"/>
    </row>
    <row r="367" spans="1:12">
      <c r="A367" s="213"/>
      <c r="B367" s="115" t="s">
        <v>231</v>
      </c>
      <c r="C367" s="123"/>
      <c r="D367" s="123"/>
      <c r="E367" s="135"/>
      <c r="F367" s="136"/>
      <c r="G367" s="393"/>
      <c r="H367" s="414"/>
      <c r="I367" s="414"/>
      <c r="J367" s="414"/>
      <c r="K367" s="439"/>
      <c r="L367" s="272"/>
    </row>
    <row r="368" spans="1:12" ht="15" thickBot="1">
      <c r="A368" s="214">
        <v>282</v>
      </c>
      <c r="B368" s="131"/>
      <c r="C368" s="117"/>
      <c r="D368" s="117" t="s">
        <v>197</v>
      </c>
      <c r="E368" s="127"/>
      <c r="F368" s="128"/>
      <c r="G368" s="394">
        <f>G350+G365</f>
        <v>270000</v>
      </c>
      <c r="H368" s="415">
        <f>H350+H365</f>
        <v>360000</v>
      </c>
      <c r="I368" s="415">
        <f>I350+I365</f>
        <v>450000</v>
      </c>
      <c r="J368" s="415">
        <f>J350+J365</f>
        <v>540000</v>
      </c>
      <c r="K368" s="440">
        <f>K350+K365</f>
        <v>540000</v>
      </c>
      <c r="L368" s="273"/>
    </row>
    <row r="369" spans="1:12" s="4" customFormat="1">
      <c r="A369" s="211"/>
      <c r="B369" s="132" t="s">
        <v>18</v>
      </c>
      <c r="C369" s="56"/>
      <c r="D369" s="56"/>
      <c r="E369" s="71"/>
      <c r="F369" s="72"/>
      <c r="G369" s="390"/>
      <c r="H369" s="399"/>
      <c r="I369" s="399"/>
      <c r="J369" s="399"/>
      <c r="K369" s="424"/>
      <c r="L369" s="245"/>
    </row>
    <row r="370" spans="1:12">
      <c r="A370" s="206">
        <v>283</v>
      </c>
      <c r="B370" s="36"/>
      <c r="C370" s="9" t="s">
        <v>199</v>
      </c>
      <c r="D370" s="9"/>
      <c r="E370" s="18" t="s">
        <v>200</v>
      </c>
      <c r="F370" s="19" t="s">
        <v>201</v>
      </c>
      <c r="G370" s="368">
        <f>'Yr 1 Operating Statement of Act'!G370</f>
        <v>0</v>
      </c>
      <c r="H370" s="368">
        <f>'Yr 1 Operating Statement of Act'!H370</f>
        <v>0</v>
      </c>
      <c r="I370" s="368">
        <f>'Yr 1 Operating Statement of Act'!I370</f>
        <v>0</v>
      </c>
      <c r="J370" s="368">
        <f>'Yr 1 Operating Statement of Act'!J370</f>
        <v>0</v>
      </c>
      <c r="K370" s="368">
        <f>'Yr 1 Operating Statement of Act'!K370</f>
        <v>0</v>
      </c>
      <c r="L370" s="247"/>
    </row>
    <row r="371" spans="1:12">
      <c r="A371" s="206">
        <v>284</v>
      </c>
      <c r="B371" s="36"/>
      <c r="C371" s="9" t="s">
        <v>202</v>
      </c>
      <c r="D371" s="9"/>
      <c r="E371" s="18" t="s">
        <v>203</v>
      </c>
      <c r="F371" s="19" t="s">
        <v>198</v>
      </c>
      <c r="G371" s="368">
        <f>'Yr 1 Operating Statement of Act'!G371</f>
        <v>0</v>
      </c>
      <c r="H371" s="368">
        <f>'Yr 1 Operating Statement of Act'!H371</f>
        <v>0</v>
      </c>
      <c r="I371" s="368">
        <f>'Yr 1 Operating Statement of Act'!I371</f>
        <v>0</v>
      </c>
      <c r="J371" s="368">
        <f>'Yr 1 Operating Statement of Act'!J371</f>
        <v>0</v>
      </c>
      <c r="K371" s="368">
        <f>'Yr 1 Operating Statement of Act'!K371</f>
        <v>0</v>
      </c>
      <c r="L371" s="247"/>
    </row>
    <row r="372" spans="1:12">
      <c r="A372" s="206">
        <v>285</v>
      </c>
      <c r="B372" s="36"/>
      <c r="C372" s="9" t="s">
        <v>204</v>
      </c>
      <c r="D372" s="9"/>
      <c r="E372" s="18" t="s">
        <v>203</v>
      </c>
      <c r="F372" s="19" t="s">
        <v>205</v>
      </c>
      <c r="G372" s="368">
        <f>'Yr 1 Operating Statement of Act'!G372</f>
        <v>0</v>
      </c>
      <c r="H372" s="368">
        <f>'Yr 1 Operating Statement of Act'!H372</f>
        <v>0</v>
      </c>
      <c r="I372" s="368">
        <f>'Yr 1 Operating Statement of Act'!I372</f>
        <v>0</v>
      </c>
      <c r="J372" s="368">
        <f>'Yr 1 Operating Statement of Act'!J372</f>
        <v>0</v>
      </c>
      <c r="K372" s="368">
        <f>'Yr 1 Operating Statement of Act'!K372</f>
        <v>0</v>
      </c>
      <c r="L372" s="247"/>
    </row>
    <row r="373" spans="1:12">
      <c r="A373" s="206">
        <v>286</v>
      </c>
      <c r="B373" s="36"/>
      <c r="C373" s="9" t="s">
        <v>93</v>
      </c>
      <c r="D373" s="9"/>
      <c r="E373" s="18" t="s">
        <v>94</v>
      </c>
      <c r="F373" s="19" t="s">
        <v>198</v>
      </c>
      <c r="G373" s="368">
        <f>'Yr 1 Operating Statement of Act'!G373</f>
        <v>0</v>
      </c>
      <c r="H373" s="368">
        <f>'Yr 1 Operating Statement of Act'!H373</f>
        <v>0</v>
      </c>
      <c r="I373" s="368">
        <f>'Yr 1 Operating Statement of Act'!I373</f>
        <v>0</v>
      </c>
      <c r="J373" s="368">
        <f>'Yr 1 Operating Statement of Act'!J373</f>
        <v>0</v>
      </c>
      <c r="K373" s="368">
        <f>'Yr 1 Operating Statement of Act'!K373</f>
        <v>0</v>
      </c>
      <c r="L373" s="247"/>
    </row>
    <row r="374" spans="1:12">
      <c r="A374" s="206">
        <v>287</v>
      </c>
      <c r="B374" s="36"/>
      <c r="C374" s="9" t="s">
        <v>85</v>
      </c>
      <c r="D374" s="9"/>
      <c r="E374" s="18" t="s">
        <v>86</v>
      </c>
      <c r="F374" s="19" t="s">
        <v>206</v>
      </c>
      <c r="G374" s="368">
        <f>'Yr 1 Operating Statement of Act'!G374</f>
        <v>0</v>
      </c>
      <c r="H374" s="368">
        <f>'Yr 1 Operating Statement of Act'!H374</f>
        <v>0</v>
      </c>
      <c r="I374" s="368">
        <f>'Yr 1 Operating Statement of Act'!I374</f>
        <v>0</v>
      </c>
      <c r="J374" s="368">
        <f>'Yr 1 Operating Statement of Act'!J374</f>
        <v>0</v>
      </c>
      <c r="K374" s="368">
        <f>'Yr 1 Operating Statement of Act'!K374</f>
        <v>0</v>
      </c>
      <c r="L374" s="247"/>
    </row>
    <row r="375" spans="1:12">
      <c r="A375" s="206">
        <v>288</v>
      </c>
      <c r="B375" s="36"/>
      <c r="C375" s="85" t="s">
        <v>283</v>
      </c>
      <c r="D375" s="9"/>
      <c r="E375" s="18"/>
      <c r="F375" s="19"/>
      <c r="G375" s="365"/>
      <c r="H375" s="397"/>
      <c r="I375" s="397"/>
      <c r="J375" s="397"/>
      <c r="K375" s="366"/>
      <c r="L375" s="247"/>
    </row>
    <row r="376" spans="1:12">
      <c r="A376" s="206">
        <v>289</v>
      </c>
      <c r="B376" s="36"/>
      <c r="C376" s="85"/>
      <c r="D376" s="9"/>
      <c r="E376" s="18"/>
      <c r="F376" s="19"/>
      <c r="G376" s="365"/>
      <c r="H376" s="397"/>
      <c r="I376" s="397"/>
      <c r="J376" s="397"/>
      <c r="K376" s="366"/>
      <c r="L376" s="247"/>
    </row>
    <row r="377" spans="1:12" ht="15" thickBot="1">
      <c r="A377" s="206">
        <v>290</v>
      </c>
      <c r="B377" s="83"/>
      <c r="D377" s="13"/>
      <c r="E377" s="14"/>
      <c r="F377" s="15"/>
      <c r="G377" s="380"/>
      <c r="H377" s="405"/>
      <c r="I377" s="405"/>
      <c r="J377" s="405"/>
      <c r="K377" s="432"/>
      <c r="L377" s="262"/>
    </row>
    <row r="378" spans="1:12">
      <c r="A378" s="213"/>
      <c r="B378" s="115" t="s">
        <v>207</v>
      </c>
      <c r="C378" s="123"/>
      <c r="D378" s="123"/>
      <c r="E378" s="135"/>
      <c r="F378" s="136"/>
      <c r="G378" s="393"/>
      <c r="H378" s="414"/>
      <c r="I378" s="414"/>
      <c r="J378" s="414"/>
      <c r="K378" s="439"/>
      <c r="L378" s="272"/>
    </row>
    <row r="379" spans="1:12" ht="15" thickBot="1">
      <c r="A379" s="214">
        <v>291</v>
      </c>
      <c r="B379" s="124"/>
      <c r="C379" s="125"/>
      <c r="D379" s="117" t="s">
        <v>2</v>
      </c>
      <c r="E379" s="127"/>
      <c r="F379" s="128"/>
      <c r="G379" s="394">
        <f>SUM(G370:G377)</f>
        <v>0</v>
      </c>
      <c r="H379" s="415">
        <f>SUM(H370:H377)</f>
        <v>0</v>
      </c>
      <c r="I379" s="415">
        <f>SUM(I370:I377)</f>
        <v>0</v>
      </c>
      <c r="J379" s="415">
        <f>SUM(J370:J377)</f>
        <v>0</v>
      </c>
      <c r="K379" s="440">
        <f>SUM(K370:K377)</f>
        <v>0</v>
      </c>
      <c r="L379" s="273"/>
    </row>
    <row r="380" spans="1:12">
      <c r="A380" s="211"/>
      <c r="B380" s="35"/>
      <c r="C380" s="12"/>
      <c r="D380" s="12"/>
      <c r="E380" s="16"/>
      <c r="F380" s="17"/>
      <c r="G380" s="388"/>
      <c r="H380" s="411"/>
      <c r="I380" s="411"/>
      <c r="J380" s="411"/>
      <c r="K380" s="436"/>
      <c r="L380" s="267"/>
    </row>
    <row r="381" spans="1:12" s="4" customFormat="1">
      <c r="A381" s="206"/>
      <c r="B381" s="52" t="s">
        <v>286</v>
      </c>
      <c r="C381" s="53"/>
      <c r="D381" s="53"/>
      <c r="E381" s="61"/>
      <c r="F381" s="62"/>
      <c r="G381" s="383"/>
      <c r="H381" s="400"/>
      <c r="I381" s="400"/>
      <c r="J381" s="400"/>
      <c r="K381" s="425"/>
      <c r="L381" s="246"/>
    </row>
    <row r="382" spans="1:12">
      <c r="A382" s="206">
        <v>292</v>
      </c>
      <c r="B382" s="36"/>
      <c r="C382" s="9" t="s">
        <v>31</v>
      </c>
      <c r="D382" s="9"/>
      <c r="E382" s="61"/>
      <c r="F382" s="62"/>
      <c r="G382" s="383"/>
      <c r="H382" s="400"/>
      <c r="I382" s="400"/>
      <c r="J382" s="400"/>
      <c r="K382" s="425"/>
      <c r="L382" s="246"/>
    </row>
    <row r="383" spans="1:12">
      <c r="A383" s="206">
        <v>293</v>
      </c>
      <c r="B383" s="36"/>
      <c r="C383" s="9"/>
      <c r="D383" s="9" t="s">
        <v>209</v>
      </c>
      <c r="E383" s="18" t="s">
        <v>149</v>
      </c>
      <c r="F383" s="19" t="s">
        <v>208</v>
      </c>
      <c r="G383" s="368">
        <f>'Yr 1 Operating Statement of Act'!G383</f>
        <v>0</v>
      </c>
      <c r="H383" s="368">
        <f>'Yr 1 Operating Statement of Act'!H383</f>
        <v>0</v>
      </c>
      <c r="I383" s="368">
        <f>'Yr 1 Operating Statement of Act'!I383</f>
        <v>0</v>
      </c>
      <c r="J383" s="368">
        <f>'Yr 1 Operating Statement of Act'!J383</f>
        <v>0</v>
      </c>
      <c r="K383" s="368">
        <f>'Yr 1 Operating Statement of Act'!K383</f>
        <v>0</v>
      </c>
      <c r="L383" s="247"/>
    </row>
    <row r="384" spans="1:12">
      <c r="A384" s="206">
        <v>294</v>
      </c>
      <c r="B384" s="36"/>
      <c r="C384" s="9"/>
      <c r="D384" s="9" t="s">
        <v>210</v>
      </c>
      <c r="E384" s="18" t="s">
        <v>152</v>
      </c>
      <c r="F384" s="19" t="s">
        <v>208</v>
      </c>
      <c r="G384" s="368">
        <f>'Yr 1 Operating Statement of Act'!G384</f>
        <v>0</v>
      </c>
      <c r="H384" s="368">
        <f>'Yr 1 Operating Statement of Act'!H384</f>
        <v>0</v>
      </c>
      <c r="I384" s="368">
        <f>'Yr 1 Operating Statement of Act'!I384</f>
        <v>0</v>
      </c>
      <c r="J384" s="368">
        <f>'Yr 1 Operating Statement of Act'!J384</f>
        <v>0</v>
      </c>
      <c r="K384" s="368">
        <f>'Yr 1 Operating Statement of Act'!K384</f>
        <v>0</v>
      </c>
      <c r="L384" s="247"/>
    </row>
    <row r="385" spans="1:12">
      <c r="A385" s="206">
        <v>295</v>
      </c>
      <c r="B385" s="36"/>
      <c r="C385" s="9"/>
      <c r="D385" s="9" t="s">
        <v>211</v>
      </c>
      <c r="E385" s="18" t="s">
        <v>212</v>
      </c>
      <c r="F385" s="19" t="s">
        <v>208</v>
      </c>
      <c r="G385" s="368">
        <f>'Yr 1 Operating Statement of Act'!G385</f>
        <v>0</v>
      </c>
      <c r="H385" s="368">
        <f>'Yr 1 Operating Statement of Act'!H385</f>
        <v>0</v>
      </c>
      <c r="I385" s="368">
        <f>'Yr 1 Operating Statement of Act'!I385</f>
        <v>0</v>
      </c>
      <c r="J385" s="368">
        <f>'Yr 1 Operating Statement of Act'!J385</f>
        <v>0</v>
      </c>
      <c r="K385" s="368">
        <f>'Yr 1 Operating Statement of Act'!K385</f>
        <v>0</v>
      </c>
      <c r="L385" s="247"/>
    </row>
    <row r="386" spans="1:12">
      <c r="A386" s="206">
        <v>296</v>
      </c>
      <c r="B386" s="36"/>
      <c r="C386" s="9"/>
      <c r="D386" s="9" t="s">
        <v>95</v>
      </c>
      <c r="E386" s="18" t="s">
        <v>96</v>
      </c>
      <c r="F386" s="19" t="s">
        <v>208</v>
      </c>
      <c r="G386" s="368">
        <f>'Yr 1 Operating Statement of Act'!G386</f>
        <v>0</v>
      </c>
      <c r="H386" s="368">
        <f>'Yr 1 Operating Statement of Act'!H386</f>
        <v>0</v>
      </c>
      <c r="I386" s="368">
        <f>'Yr 1 Operating Statement of Act'!I386</f>
        <v>0</v>
      </c>
      <c r="J386" s="368">
        <f>'Yr 1 Operating Statement of Act'!J386</f>
        <v>0</v>
      </c>
      <c r="K386" s="368">
        <f>'Yr 1 Operating Statement of Act'!K386</f>
        <v>0</v>
      </c>
      <c r="L386" s="247"/>
    </row>
    <row r="387" spans="1:12">
      <c r="A387" s="206">
        <v>297</v>
      </c>
      <c r="B387" s="36"/>
      <c r="C387" s="85" t="s">
        <v>283</v>
      </c>
      <c r="D387" s="9"/>
      <c r="E387" s="18"/>
      <c r="F387" s="19"/>
      <c r="G387" s="365"/>
      <c r="H387" s="397"/>
      <c r="I387" s="397"/>
      <c r="J387" s="397"/>
      <c r="K387" s="366"/>
      <c r="L387" s="247"/>
    </row>
    <row r="388" spans="1:12">
      <c r="A388" s="206">
        <v>298</v>
      </c>
      <c r="B388" s="36"/>
      <c r="C388" s="85"/>
      <c r="D388" s="9"/>
      <c r="E388" s="18"/>
      <c r="F388" s="19"/>
      <c r="G388" s="365"/>
      <c r="H388" s="397"/>
      <c r="I388" s="397"/>
      <c r="J388" s="397"/>
      <c r="K388" s="366"/>
      <c r="L388" s="247"/>
    </row>
    <row r="389" spans="1:12" ht="15" thickBot="1">
      <c r="A389" s="203">
        <v>299</v>
      </c>
      <c r="B389" s="83"/>
      <c r="D389" s="13"/>
      <c r="E389" s="14"/>
      <c r="F389" s="15"/>
      <c r="G389" s="380"/>
      <c r="H389" s="405"/>
      <c r="I389" s="405"/>
      <c r="J389" s="405"/>
      <c r="K389" s="432"/>
      <c r="L389" s="262"/>
    </row>
    <row r="390" spans="1:12" ht="15" thickBot="1">
      <c r="A390" s="210">
        <v>300</v>
      </c>
      <c r="B390" s="75" t="s">
        <v>287</v>
      </c>
      <c r="C390" s="76"/>
      <c r="D390" s="76"/>
      <c r="E390" s="45"/>
      <c r="F390" s="46"/>
      <c r="G390" s="387">
        <f>SUM(G383:G389)</f>
        <v>0</v>
      </c>
      <c r="H390" s="410">
        <f>SUM(H383:H389)</f>
        <v>0</v>
      </c>
      <c r="I390" s="410">
        <f>SUM(I383:I389)</f>
        <v>0</v>
      </c>
      <c r="J390" s="410">
        <f>SUM(J383:J389)</f>
        <v>0</v>
      </c>
      <c r="K390" s="431">
        <f>SUM(K383:K389)</f>
        <v>0</v>
      </c>
      <c r="L390" s="266"/>
    </row>
    <row r="391" spans="1:12" ht="15" thickBot="1">
      <c r="A391" s="206"/>
      <c r="B391" s="36"/>
      <c r="C391" s="9"/>
      <c r="D391" s="9"/>
      <c r="E391" s="18"/>
      <c r="F391" s="19"/>
      <c r="G391" s="365"/>
      <c r="H391" s="397"/>
      <c r="I391" s="397"/>
      <c r="J391" s="397"/>
      <c r="K391" s="366"/>
      <c r="L391" s="247"/>
    </row>
    <row r="392" spans="1:12" ht="15" thickBot="1">
      <c r="A392" s="212"/>
      <c r="B392" s="75" t="s">
        <v>213</v>
      </c>
      <c r="C392" s="76"/>
      <c r="D392" s="76"/>
      <c r="E392" s="45"/>
      <c r="F392" s="46"/>
      <c r="G392" s="387">
        <f>G154+G327+G368+G379+G390</f>
        <v>3665458.9656337164</v>
      </c>
      <c r="H392" s="410">
        <f>H154+H327+H368+H379+H390</f>
        <v>4620382.2051573787</v>
      </c>
      <c r="I392" s="410">
        <f>I154+I327+I368+I379+I390</f>
        <v>5669973.6336394846</v>
      </c>
      <c r="J392" s="410">
        <f>J154+J327+J368+J379+J390</f>
        <v>6787128.1748135556</v>
      </c>
      <c r="K392" s="431">
        <f>K154+K327+K368+K379+K390</f>
        <v>7087578.6716855485</v>
      </c>
      <c r="L392" s="266"/>
    </row>
    <row r="393" spans="1:12">
      <c r="A393" s="206"/>
      <c r="B393" s="36"/>
      <c r="C393" s="9"/>
      <c r="D393" s="9"/>
      <c r="E393" s="18"/>
      <c r="F393" s="19"/>
      <c r="G393" s="365"/>
      <c r="H393" s="397"/>
      <c r="I393" s="397"/>
      <c r="J393" s="397"/>
      <c r="K393" s="366"/>
      <c r="L393" s="247"/>
    </row>
    <row r="394" spans="1:12" s="4" customFormat="1">
      <c r="A394" s="206"/>
      <c r="B394" s="86" t="s">
        <v>291</v>
      </c>
      <c r="C394" s="11"/>
      <c r="D394" s="11"/>
      <c r="E394" s="77"/>
      <c r="F394" s="78"/>
      <c r="G394" s="386"/>
      <c r="H394" s="409"/>
      <c r="I394" s="409"/>
      <c r="J394" s="409"/>
      <c r="K394" s="435"/>
      <c r="L394" s="265"/>
    </row>
    <row r="395" spans="1:12">
      <c r="A395" s="206">
        <v>301</v>
      </c>
      <c r="B395" s="36" t="s">
        <v>4</v>
      </c>
      <c r="C395" s="9"/>
      <c r="D395" s="9"/>
      <c r="E395" s="18" t="s">
        <v>221</v>
      </c>
      <c r="F395" s="19" t="s">
        <v>253</v>
      </c>
      <c r="G395" s="368">
        <f>'Yr 1 Operating Statement of Act'!G395</f>
        <v>0</v>
      </c>
      <c r="H395" s="368">
        <f>'Yr 1 Operating Statement of Act'!H395</f>
        <v>0</v>
      </c>
      <c r="I395" s="368">
        <f>'Yr 1 Operating Statement of Act'!I395</f>
        <v>0</v>
      </c>
      <c r="J395" s="368">
        <f>'Yr 1 Operating Statement of Act'!J395</f>
        <v>0</v>
      </c>
      <c r="K395" s="368">
        <f>'Yr 1 Operating Statement of Act'!K395</f>
        <v>0</v>
      </c>
      <c r="L395" s="247"/>
    </row>
    <row r="396" spans="1:12" ht="15" thickBot="1">
      <c r="A396" s="206">
        <v>302</v>
      </c>
      <c r="B396" s="36"/>
      <c r="C396" s="9"/>
      <c r="D396" s="9"/>
      <c r="E396" s="18"/>
      <c r="F396" s="19"/>
      <c r="G396" s="365"/>
      <c r="H396" s="397"/>
      <c r="I396" s="397"/>
      <c r="J396" s="397"/>
      <c r="K396" s="366"/>
      <c r="L396" s="247"/>
    </row>
    <row r="397" spans="1:12" ht="15" thickBot="1">
      <c r="A397" s="210">
        <v>303</v>
      </c>
      <c r="B397" s="75" t="s">
        <v>214</v>
      </c>
      <c r="C397" s="76"/>
      <c r="D397" s="76"/>
      <c r="E397" s="45"/>
      <c r="F397" s="46"/>
      <c r="G397" s="387">
        <f>SUM(G395:G396)</f>
        <v>0</v>
      </c>
      <c r="H397" s="410">
        <f>SUM(H395:H396)</f>
        <v>0</v>
      </c>
      <c r="I397" s="410">
        <f>SUM(I395:I396)</f>
        <v>0</v>
      </c>
      <c r="J397" s="410">
        <f>SUM(J395:J396)</f>
        <v>0</v>
      </c>
      <c r="K397" s="431">
        <f>SUM(K395:K396)</f>
        <v>0</v>
      </c>
      <c r="L397" s="266"/>
    </row>
    <row r="398" spans="1:12" ht="15" thickBot="1">
      <c r="A398" s="57"/>
      <c r="B398" s="36"/>
      <c r="C398" s="9"/>
      <c r="D398" s="9"/>
      <c r="E398" s="18"/>
      <c r="F398" s="19"/>
      <c r="G398" s="365"/>
      <c r="H398" s="397"/>
      <c r="I398" s="397"/>
      <c r="J398" s="397"/>
      <c r="K398" s="366"/>
      <c r="L398" s="247"/>
    </row>
    <row r="399" spans="1:12" s="4" customFormat="1" ht="15" thickBot="1">
      <c r="A399" s="75" t="s">
        <v>215</v>
      </c>
      <c r="B399" s="75"/>
      <c r="C399" s="76"/>
      <c r="D399" s="76"/>
      <c r="E399" s="119"/>
      <c r="F399" s="120"/>
      <c r="G399" s="395"/>
      <c r="H399" s="416"/>
      <c r="I399" s="416"/>
      <c r="J399" s="416"/>
      <c r="K399" s="441"/>
      <c r="L399" s="274"/>
    </row>
    <row r="400" spans="1:12">
      <c r="A400" s="114"/>
      <c r="B400" s="130"/>
      <c r="C400" s="129" t="s">
        <v>254</v>
      </c>
      <c r="D400" s="118"/>
      <c r="E400" s="135"/>
      <c r="F400" s="136"/>
      <c r="G400" s="393"/>
      <c r="H400" s="414"/>
      <c r="I400" s="414"/>
      <c r="J400" s="414"/>
      <c r="K400" s="439"/>
      <c r="L400" s="272"/>
    </row>
    <row r="401" spans="1:12" ht="15" thickBot="1">
      <c r="A401" s="126">
        <v>304</v>
      </c>
      <c r="B401" s="131"/>
      <c r="C401" s="116" t="s">
        <v>3</v>
      </c>
      <c r="D401" s="117"/>
      <c r="E401" s="127"/>
      <c r="F401" s="128"/>
      <c r="G401" s="394">
        <f>+G70-G392-G397</f>
        <v>7064.4157490767539</v>
      </c>
      <c r="H401" s="415">
        <f>+H70-H392-H397</f>
        <v>208223.83456513379</v>
      </c>
      <c r="I401" s="415">
        <f>+I70-I392-I397</f>
        <v>319592.06351365708</v>
      </c>
      <c r="J401" s="415">
        <f>+J70-J392-J397</f>
        <v>457543.74977021292</v>
      </c>
      <c r="K401" s="440">
        <f>+K70-K392-K397</f>
        <v>157093.25289821997</v>
      </c>
      <c r="L401" s="275"/>
    </row>
    <row r="402" spans="1:12">
      <c r="D402" s="217" t="s">
        <v>350</v>
      </c>
      <c r="G402" s="379">
        <f>G401</f>
        <v>7064.4157490767539</v>
      </c>
      <c r="H402" s="379">
        <f>G402+H401</f>
        <v>215288.25031421054</v>
      </c>
      <c r="I402" s="379">
        <f>H402+I401</f>
        <v>534880.31382786762</v>
      </c>
      <c r="J402" s="379">
        <f>I402+J401</f>
        <v>992424.06359808054</v>
      </c>
      <c r="K402" s="379">
        <f>J402+K401</f>
        <v>1149517.3164963005</v>
      </c>
      <c r="L402" s="260"/>
    </row>
    <row r="403" spans="1:12">
      <c r="G403" s="379"/>
      <c r="H403" s="379"/>
      <c r="I403" s="379"/>
      <c r="J403" s="379"/>
      <c r="K403" s="379"/>
      <c r="L403" s="260"/>
    </row>
    <row r="404" spans="1:12">
      <c r="G404" s="379"/>
      <c r="H404" s="379"/>
      <c r="I404" s="379"/>
      <c r="J404" s="379"/>
      <c r="K404" s="379"/>
      <c r="L404" s="260"/>
    </row>
    <row r="405" spans="1:12">
      <c r="G405" s="379"/>
      <c r="H405" s="379"/>
      <c r="I405" s="379"/>
      <c r="J405" s="379"/>
      <c r="K405" s="379"/>
      <c r="L405" s="260"/>
    </row>
    <row r="406" spans="1:12">
      <c r="L406" s="260"/>
    </row>
    <row r="407" spans="1:12">
      <c r="L407" s="260"/>
    </row>
    <row r="408" spans="1:12">
      <c r="L408" s="260"/>
    </row>
    <row r="409" spans="1:12">
      <c r="L409" s="260"/>
    </row>
  </sheetData>
  <mergeCells count="11">
    <mergeCell ref="L6:L7"/>
    <mergeCell ref="A4:L4"/>
    <mergeCell ref="G6:G7"/>
    <mergeCell ref="A38:K38"/>
    <mergeCell ref="B6:D7"/>
    <mergeCell ref="H6:H7"/>
    <mergeCell ref="I6:I7"/>
    <mergeCell ref="F6:F7"/>
    <mergeCell ref="E6:E7"/>
    <mergeCell ref="K6:K7"/>
    <mergeCell ref="J6:J7"/>
  </mergeCells>
  <phoneticPr fontId="0" type="noConversion"/>
  <printOptions horizontalCentered="1"/>
  <pageMargins left="0.27" right="0.16" top="0.17" bottom="0.26" header="0.28999999999999998" footer="0.17"/>
  <pageSetup orientation="landscape"/>
  <headerFooter alignWithMargins="0"/>
  <rowBreaks count="14" manualBreakCount="14">
    <brk id="40" max="16383" man="1"/>
    <brk id="73" max="16383" man="1"/>
    <brk id="100" max="16383" man="1"/>
    <brk id="127" max="16383" man="1"/>
    <brk id="154" max="16383" man="1"/>
    <brk id="188" max="16383" man="1"/>
    <brk id="204" max="16383" man="1"/>
    <brk id="229" max="16383" man="1"/>
    <brk id="254" max="16383" man="1"/>
    <brk id="286" max="16383" man="1"/>
    <brk id="308" max="16383" man="1"/>
    <brk id="327" max="16383" man="1"/>
    <brk id="350" max="16383" man="1"/>
    <brk id="379"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T696"/>
  <sheetViews>
    <sheetView zoomScale="80" workbookViewId="0">
      <pane xSplit="4" ySplit="5" topLeftCell="E388" activePane="bottomRight" state="frozen"/>
      <selection activeCell="A12" sqref="A12:O12"/>
      <selection pane="topRight" activeCell="A12" sqref="A12:O12"/>
      <selection pane="bottomLeft" activeCell="A12" sqref="A12:O12"/>
      <selection pane="bottomRight" activeCell="I286" sqref="I286"/>
    </sheetView>
  </sheetViews>
  <sheetFormatPr baseColWidth="10" defaultColWidth="9.1640625" defaultRowHeight="14"/>
  <cols>
    <col min="1" max="1" width="4.1640625" style="32" customWidth="1"/>
    <col min="2" max="2" width="5.33203125" style="13" customWidth="1"/>
    <col min="3" max="3" width="4.6640625" style="13" customWidth="1"/>
    <col min="4" max="4" width="48.6640625" style="2" customWidth="1"/>
    <col min="5" max="5" width="8" style="3" customWidth="1"/>
    <col min="6" max="6" width="10.6640625" style="3" customWidth="1"/>
    <col min="7" max="8" width="11.6640625" style="396" customWidth="1"/>
    <col min="9" max="9" width="12.33203125" style="396" customWidth="1"/>
    <col min="10" max="19" width="11.6640625" style="396" customWidth="1"/>
    <col min="20" max="31" width="11.6640625" style="2" customWidth="1"/>
    <col min="32" max="16384" width="9.1640625" style="2"/>
  </cols>
  <sheetData>
    <row r="1" spans="1:19" ht="33.75" customHeight="1">
      <c r="A1" s="290" t="s">
        <v>313</v>
      </c>
      <c r="B1" s="291"/>
      <c r="C1" s="291"/>
      <c r="D1" s="296" t="s">
        <v>512</v>
      </c>
      <c r="E1" s="5"/>
      <c r="F1" s="5"/>
      <c r="G1" s="369"/>
      <c r="H1" s="369"/>
      <c r="I1" s="369"/>
      <c r="J1" s="369"/>
      <c r="K1" s="369"/>
    </row>
    <row r="2" spans="1:19" ht="18" customHeight="1">
      <c r="A2" s="492" t="s">
        <v>361</v>
      </c>
      <c r="B2" s="492"/>
      <c r="C2" s="492"/>
      <c r="D2" s="492"/>
      <c r="E2" s="492"/>
      <c r="F2" s="492"/>
      <c r="G2" s="492"/>
      <c r="H2" s="492"/>
      <c r="I2" s="492"/>
      <c r="J2" s="492"/>
      <c r="K2" s="492"/>
      <c r="L2" s="492"/>
      <c r="M2" s="492"/>
      <c r="N2" s="492"/>
      <c r="O2" s="492"/>
      <c r="P2" s="492"/>
      <c r="Q2" s="492"/>
      <c r="R2" s="492"/>
      <c r="S2" s="492"/>
    </row>
    <row r="3" spans="1:19" ht="18.75" customHeight="1" thickBot="1">
      <c r="A3" s="27"/>
      <c r="B3" s="21"/>
      <c r="C3" s="21"/>
      <c r="D3" s="5"/>
      <c r="E3" s="5"/>
      <c r="F3" s="5"/>
      <c r="G3" s="369"/>
      <c r="H3" s="369"/>
      <c r="I3" s="369"/>
      <c r="J3" s="369"/>
      <c r="K3" s="369"/>
    </row>
    <row r="4" spans="1:19" s="1" customFormat="1" ht="15.75" customHeight="1" thickTop="1">
      <c r="A4" s="28"/>
      <c r="B4" s="484" t="s">
        <v>239</v>
      </c>
      <c r="C4" s="485"/>
      <c r="D4" s="485"/>
      <c r="E4" s="487" t="s">
        <v>232</v>
      </c>
      <c r="F4" s="489" t="s">
        <v>233</v>
      </c>
      <c r="G4" s="515" t="s">
        <v>300</v>
      </c>
      <c r="H4" s="513" t="s">
        <v>301</v>
      </c>
      <c r="I4" s="513" t="s">
        <v>302</v>
      </c>
      <c r="J4" s="513" t="s">
        <v>303</v>
      </c>
      <c r="K4" s="513" t="s">
        <v>304</v>
      </c>
      <c r="L4" s="513" t="s">
        <v>305</v>
      </c>
      <c r="M4" s="513" t="s">
        <v>306</v>
      </c>
      <c r="N4" s="513" t="s">
        <v>307</v>
      </c>
      <c r="O4" s="513" t="s">
        <v>308</v>
      </c>
      <c r="P4" s="513" t="s">
        <v>309</v>
      </c>
      <c r="Q4" s="513" t="s">
        <v>310</v>
      </c>
      <c r="R4" s="513" t="s">
        <v>311</v>
      </c>
      <c r="S4" s="513" t="s">
        <v>312</v>
      </c>
    </row>
    <row r="5" spans="1:19" s="40" customFormat="1" ht="15" thickBot="1">
      <c r="A5" s="37"/>
      <c r="B5" s="496"/>
      <c r="C5" s="496"/>
      <c r="D5" s="496"/>
      <c r="E5" s="497"/>
      <c r="F5" s="511"/>
      <c r="G5" s="516"/>
      <c r="H5" s="514" t="s">
        <v>235</v>
      </c>
      <c r="I5" s="514" t="s">
        <v>236</v>
      </c>
      <c r="J5" s="514" t="s">
        <v>237</v>
      </c>
      <c r="K5" s="514" t="s">
        <v>238</v>
      </c>
      <c r="L5" s="514" t="s">
        <v>235</v>
      </c>
      <c r="M5" s="514" t="s">
        <v>236</v>
      </c>
      <c r="N5" s="514" t="s">
        <v>237</v>
      </c>
      <c r="O5" s="514" t="s">
        <v>238</v>
      </c>
      <c r="P5" s="514" t="s">
        <v>235</v>
      </c>
      <c r="Q5" s="514" t="s">
        <v>236</v>
      </c>
      <c r="R5" s="514" t="s">
        <v>237</v>
      </c>
      <c r="S5" s="514" t="s">
        <v>237</v>
      </c>
    </row>
    <row r="6" spans="1:19" s="39" customFormat="1" ht="20.25" customHeight="1" thickTop="1">
      <c r="A6" s="38"/>
      <c r="B6" s="41" t="s">
        <v>267</v>
      </c>
      <c r="E6" s="69"/>
      <c r="F6" s="70"/>
      <c r="G6" s="445"/>
      <c r="H6" s="398"/>
      <c r="I6" s="398"/>
      <c r="J6" s="398"/>
      <c r="K6" s="398"/>
      <c r="L6" s="398"/>
      <c r="M6" s="398"/>
      <c r="N6" s="398"/>
      <c r="O6" s="398"/>
      <c r="P6" s="398"/>
      <c r="Q6" s="398"/>
      <c r="R6" s="450"/>
      <c r="S6" s="450"/>
    </row>
    <row r="7" spans="1:19" ht="3" customHeight="1">
      <c r="A7" s="29"/>
      <c r="B7" s="35"/>
      <c r="C7" s="12"/>
      <c r="D7" s="12"/>
      <c r="E7" s="71"/>
      <c r="F7" s="72"/>
      <c r="G7" s="390"/>
      <c r="H7" s="399"/>
      <c r="I7" s="399"/>
      <c r="J7" s="399"/>
      <c r="K7" s="399"/>
      <c r="L7" s="399"/>
      <c r="M7" s="399"/>
      <c r="N7" s="399"/>
      <c r="O7" s="399"/>
      <c r="P7" s="399"/>
      <c r="Q7" s="399"/>
      <c r="R7" s="424"/>
      <c r="S7" s="424"/>
    </row>
    <row r="8" spans="1:19">
      <c r="A8" s="30"/>
      <c r="B8" s="25" t="s">
        <v>32</v>
      </c>
      <c r="C8" s="11"/>
      <c r="D8" s="11"/>
      <c r="E8" s="61"/>
      <c r="F8" s="62"/>
      <c r="G8" s="383"/>
      <c r="H8" s="400"/>
      <c r="I8" s="400"/>
      <c r="J8" s="400"/>
      <c r="K8" s="400"/>
      <c r="L8" s="400"/>
      <c r="M8" s="400"/>
      <c r="N8" s="400"/>
      <c r="O8" s="400"/>
      <c r="P8" s="400"/>
      <c r="Q8" s="400"/>
      <c r="R8" s="425"/>
      <c r="S8" s="425"/>
    </row>
    <row r="9" spans="1:19">
      <c r="A9" s="192">
        <v>1</v>
      </c>
      <c r="B9" s="36"/>
      <c r="C9" s="9" t="s">
        <v>293</v>
      </c>
      <c r="D9" s="9"/>
      <c r="E9" s="18"/>
      <c r="F9" s="19" t="s">
        <v>277</v>
      </c>
      <c r="G9" s="365">
        <f>'Yr 1 Operating Statement of Act'!G11/12</f>
        <v>139550</v>
      </c>
      <c r="H9" s="365">
        <f>'Yr 1 Operating Statement of Act'!$G$11/12</f>
        <v>139550</v>
      </c>
      <c r="I9" s="365">
        <f>'Yr 1 Operating Statement of Act'!$G$11/12</f>
        <v>139550</v>
      </c>
      <c r="J9" s="365">
        <f>'Yr 1 Operating Statement of Act'!$G$11/12</f>
        <v>139550</v>
      </c>
      <c r="K9" s="365">
        <f>'Yr 1 Operating Statement of Act'!$G$11/12</f>
        <v>139550</v>
      </c>
      <c r="L9" s="365">
        <f>'Yr 1 Operating Statement of Act'!$G$11/12</f>
        <v>139550</v>
      </c>
      <c r="M9" s="365">
        <f>'Yr 1 Operating Statement of Act'!$G$11/12</f>
        <v>139550</v>
      </c>
      <c r="N9" s="365">
        <f>'Yr 1 Operating Statement of Act'!$G$11/12</f>
        <v>139550</v>
      </c>
      <c r="O9" s="365">
        <f>'Yr 1 Operating Statement of Act'!$G$11/12</f>
        <v>139550</v>
      </c>
      <c r="P9" s="365">
        <f>'Yr 1 Operating Statement of Act'!$G$11/12</f>
        <v>139550</v>
      </c>
      <c r="Q9" s="365">
        <f>'Yr 1 Operating Statement of Act'!$G$11/12</f>
        <v>139550</v>
      </c>
      <c r="R9" s="365">
        <f>'Yr 1 Operating Statement of Act'!$G$11/12</f>
        <v>139550</v>
      </c>
      <c r="S9" s="366">
        <f>SUM(G9:R9)</f>
        <v>1674600</v>
      </c>
    </row>
    <row r="10" spans="1:19">
      <c r="A10" s="192">
        <v>2</v>
      </c>
      <c r="B10" s="36"/>
      <c r="C10" s="9" t="s">
        <v>35</v>
      </c>
      <c r="D10" s="9"/>
      <c r="E10" s="18"/>
      <c r="F10" s="19" t="s">
        <v>216</v>
      </c>
      <c r="G10" s="365">
        <f>'Yr 1 Operating Statement of Act'!G12/12</f>
        <v>0</v>
      </c>
      <c r="H10" s="397">
        <f>G10</f>
        <v>0</v>
      </c>
      <c r="I10" s="397">
        <f t="shared" ref="I10:R10" si="0">H10</f>
        <v>0</v>
      </c>
      <c r="J10" s="397">
        <f t="shared" si="0"/>
        <v>0</v>
      </c>
      <c r="K10" s="397">
        <f t="shared" si="0"/>
        <v>0</v>
      </c>
      <c r="L10" s="397">
        <f t="shared" si="0"/>
        <v>0</v>
      </c>
      <c r="M10" s="397">
        <f t="shared" si="0"/>
        <v>0</v>
      </c>
      <c r="N10" s="397">
        <f t="shared" si="0"/>
        <v>0</v>
      </c>
      <c r="O10" s="397">
        <f t="shared" si="0"/>
        <v>0</v>
      </c>
      <c r="P10" s="397">
        <f t="shared" si="0"/>
        <v>0</v>
      </c>
      <c r="Q10" s="397">
        <f t="shared" si="0"/>
        <v>0</v>
      </c>
      <c r="R10" s="397">
        <f t="shared" si="0"/>
        <v>0</v>
      </c>
      <c r="S10" s="366">
        <f t="shared" ref="S10:S18" si="1">SUM(G10:R10)</f>
        <v>0</v>
      </c>
    </row>
    <row r="11" spans="1:19">
      <c r="A11" s="192">
        <v>3</v>
      </c>
      <c r="B11" s="36"/>
      <c r="C11" s="9" t="s">
        <v>36</v>
      </c>
      <c r="D11" s="9"/>
      <c r="E11" s="18"/>
      <c r="F11" s="19" t="s">
        <v>217</v>
      </c>
      <c r="G11" s="365">
        <f>'Yr 1 Operating Statement of Act'!G13/12</f>
        <v>25</v>
      </c>
      <c r="H11" s="397">
        <f t="shared" ref="H11:R12" si="2">G11</f>
        <v>25</v>
      </c>
      <c r="I11" s="397">
        <f t="shared" si="2"/>
        <v>25</v>
      </c>
      <c r="J11" s="397">
        <f t="shared" si="2"/>
        <v>25</v>
      </c>
      <c r="K11" s="397">
        <f t="shared" si="2"/>
        <v>25</v>
      </c>
      <c r="L11" s="397">
        <f t="shared" si="2"/>
        <v>25</v>
      </c>
      <c r="M11" s="397">
        <f t="shared" si="2"/>
        <v>25</v>
      </c>
      <c r="N11" s="397">
        <f t="shared" si="2"/>
        <v>25</v>
      </c>
      <c r="O11" s="397">
        <f t="shared" si="2"/>
        <v>25</v>
      </c>
      <c r="P11" s="397">
        <f t="shared" si="2"/>
        <v>25</v>
      </c>
      <c r="Q11" s="397">
        <f t="shared" si="2"/>
        <v>25</v>
      </c>
      <c r="R11" s="397">
        <f t="shared" si="2"/>
        <v>25</v>
      </c>
      <c r="S11" s="366">
        <f t="shared" si="1"/>
        <v>300</v>
      </c>
    </row>
    <row r="12" spans="1:19">
      <c r="A12" s="192">
        <v>4</v>
      </c>
      <c r="B12" s="36"/>
      <c r="C12" s="9" t="s">
        <v>37</v>
      </c>
      <c r="D12" s="9"/>
      <c r="E12" s="18"/>
      <c r="F12" s="19">
        <v>1800</v>
      </c>
      <c r="G12" s="365">
        <f>'Yr 1 Operating Statement of Act'!G14/12</f>
        <v>0</v>
      </c>
      <c r="H12" s="397">
        <f t="shared" si="2"/>
        <v>0</v>
      </c>
      <c r="I12" s="397">
        <f t="shared" si="2"/>
        <v>0</v>
      </c>
      <c r="J12" s="397">
        <f t="shared" si="2"/>
        <v>0</v>
      </c>
      <c r="K12" s="397">
        <f t="shared" si="2"/>
        <v>0</v>
      </c>
      <c r="L12" s="397">
        <f t="shared" si="2"/>
        <v>0</v>
      </c>
      <c r="M12" s="397">
        <f t="shared" si="2"/>
        <v>0</v>
      </c>
      <c r="N12" s="397">
        <f t="shared" si="2"/>
        <v>0</v>
      </c>
      <c r="O12" s="397">
        <f t="shared" si="2"/>
        <v>0</v>
      </c>
      <c r="P12" s="397">
        <f t="shared" si="2"/>
        <v>0</v>
      </c>
      <c r="Q12" s="397">
        <f t="shared" si="2"/>
        <v>0</v>
      </c>
      <c r="R12" s="397">
        <f t="shared" si="2"/>
        <v>0</v>
      </c>
      <c r="S12" s="366">
        <f t="shared" si="1"/>
        <v>0</v>
      </c>
    </row>
    <row r="13" spans="1:19">
      <c r="A13" s="192"/>
      <c r="B13" s="36"/>
      <c r="C13" s="9" t="s">
        <v>38</v>
      </c>
      <c r="D13" s="9"/>
      <c r="E13" s="61"/>
      <c r="F13" s="62"/>
      <c r="G13" s="383"/>
      <c r="H13" s="400"/>
      <c r="I13" s="400"/>
      <c r="J13" s="400"/>
      <c r="K13" s="400"/>
      <c r="L13" s="400"/>
      <c r="M13" s="400"/>
      <c r="N13" s="400"/>
      <c r="O13" s="400"/>
      <c r="P13" s="400"/>
      <c r="Q13" s="400"/>
      <c r="R13" s="425"/>
      <c r="S13" s="425"/>
    </row>
    <row r="14" spans="1:19">
      <c r="A14" s="192">
        <v>5</v>
      </c>
      <c r="B14" s="36"/>
      <c r="C14" s="9"/>
      <c r="D14" s="9" t="s">
        <v>39</v>
      </c>
      <c r="E14" s="18"/>
      <c r="F14" s="19" t="s">
        <v>40</v>
      </c>
      <c r="G14" s="365">
        <f>'Yr 1 Operating Statement of Act'!G16/12</f>
        <v>0</v>
      </c>
      <c r="H14" s="397">
        <f t="shared" ref="H14:R16" si="3">G14</f>
        <v>0</v>
      </c>
      <c r="I14" s="397">
        <f t="shared" si="3"/>
        <v>0</v>
      </c>
      <c r="J14" s="397">
        <f t="shared" si="3"/>
        <v>0</v>
      </c>
      <c r="K14" s="397">
        <f t="shared" si="3"/>
        <v>0</v>
      </c>
      <c r="L14" s="397">
        <f t="shared" si="3"/>
        <v>0</v>
      </c>
      <c r="M14" s="397">
        <f t="shared" si="3"/>
        <v>0</v>
      </c>
      <c r="N14" s="397">
        <f t="shared" si="3"/>
        <v>0</v>
      </c>
      <c r="O14" s="397">
        <f t="shared" si="3"/>
        <v>0</v>
      </c>
      <c r="P14" s="397">
        <f t="shared" si="3"/>
        <v>0</v>
      </c>
      <c r="Q14" s="397">
        <f t="shared" si="3"/>
        <v>0</v>
      </c>
      <c r="R14" s="397">
        <f t="shared" si="3"/>
        <v>0</v>
      </c>
      <c r="S14" s="366">
        <f t="shared" si="1"/>
        <v>0</v>
      </c>
    </row>
    <row r="15" spans="1:19">
      <c r="A15" s="192">
        <v>6</v>
      </c>
      <c r="B15" s="36"/>
      <c r="C15" s="9"/>
      <c r="D15" s="9" t="s">
        <v>41</v>
      </c>
      <c r="E15" s="18"/>
      <c r="F15" s="19" t="s">
        <v>42</v>
      </c>
      <c r="G15" s="365">
        <f>'Yr 1 Operating Statement of Act'!G17/12</f>
        <v>0</v>
      </c>
      <c r="H15" s="397">
        <f t="shared" si="3"/>
        <v>0</v>
      </c>
      <c r="I15" s="397">
        <f t="shared" si="3"/>
        <v>0</v>
      </c>
      <c r="J15" s="397">
        <f t="shared" si="3"/>
        <v>0</v>
      </c>
      <c r="K15" s="397">
        <f t="shared" si="3"/>
        <v>0</v>
      </c>
      <c r="L15" s="397">
        <f t="shared" si="3"/>
        <v>0</v>
      </c>
      <c r="M15" s="397">
        <f t="shared" si="3"/>
        <v>0</v>
      </c>
      <c r="N15" s="397">
        <f t="shared" si="3"/>
        <v>0</v>
      </c>
      <c r="O15" s="397">
        <f t="shared" si="3"/>
        <v>0</v>
      </c>
      <c r="P15" s="397">
        <f t="shared" si="3"/>
        <v>0</v>
      </c>
      <c r="Q15" s="397">
        <f t="shared" si="3"/>
        <v>0</v>
      </c>
      <c r="R15" s="397">
        <f t="shared" si="3"/>
        <v>0</v>
      </c>
      <c r="S15" s="366">
        <f t="shared" si="1"/>
        <v>0</v>
      </c>
    </row>
    <row r="16" spans="1:19">
      <c r="A16" s="194">
        <v>7</v>
      </c>
      <c r="B16" s="42"/>
      <c r="C16" s="43"/>
      <c r="D16" s="43" t="s">
        <v>255</v>
      </c>
      <c r="E16" s="22"/>
      <c r="F16" s="23" t="s">
        <v>218</v>
      </c>
      <c r="G16" s="365" t="e">
        <f>'Yr 1 Operating Statement of Act'!#REF!/12</f>
        <v>#REF!</v>
      </c>
      <c r="H16" s="397" t="e">
        <f t="shared" si="3"/>
        <v>#REF!</v>
      </c>
      <c r="I16" s="397" t="e">
        <f t="shared" si="3"/>
        <v>#REF!</v>
      </c>
      <c r="J16" s="397" t="e">
        <f t="shared" si="3"/>
        <v>#REF!</v>
      </c>
      <c r="K16" s="397" t="e">
        <f t="shared" si="3"/>
        <v>#REF!</v>
      </c>
      <c r="L16" s="397" t="e">
        <f t="shared" si="3"/>
        <v>#REF!</v>
      </c>
      <c r="M16" s="397" t="e">
        <f t="shared" si="3"/>
        <v>#REF!</v>
      </c>
      <c r="N16" s="397" t="e">
        <f t="shared" si="3"/>
        <v>#REF!</v>
      </c>
      <c r="O16" s="397" t="e">
        <f t="shared" si="3"/>
        <v>#REF!</v>
      </c>
      <c r="P16" s="397" t="e">
        <f t="shared" si="3"/>
        <v>#REF!</v>
      </c>
      <c r="Q16" s="397" t="e">
        <f t="shared" si="3"/>
        <v>#REF!</v>
      </c>
      <c r="R16" s="397" t="e">
        <f t="shared" si="3"/>
        <v>#REF!</v>
      </c>
      <c r="S16" s="366" t="e">
        <f t="shared" si="1"/>
        <v>#REF!</v>
      </c>
    </row>
    <row r="17" spans="1:20" s="94" customFormat="1" ht="13">
      <c r="A17" s="196">
        <v>8</v>
      </c>
      <c r="B17" s="91"/>
      <c r="C17" s="82" t="s">
        <v>17</v>
      </c>
      <c r="D17" s="82"/>
      <c r="E17" s="92"/>
      <c r="F17" s="93"/>
      <c r="G17" s="446"/>
      <c r="H17" s="402"/>
      <c r="I17" s="402"/>
      <c r="J17" s="402"/>
      <c r="K17" s="402"/>
      <c r="L17" s="402"/>
      <c r="M17" s="402"/>
      <c r="N17" s="402"/>
      <c r="O17" s="402"/>
      <c r="P17" s="402"/>
      <c r="Q17" s="402"/>
      <c r="R17" s="426"/>
      <c r="S17" s="366">
        <f t="shared" si="1"/>
        <v>0</v>
      </c>
    </row>
    <row r="18" spans="1:20">
      <c r="A18" s="194">
        <v>9</v>
      </c>
      <c r="B18" s="42"/>
      <c r="C18" s="43"/>
      <c r="D18" s="43"/>
      <c r="E18" s="22"/>
      <c r="F18" s="23"/>
      <c r="G18" s="385"/>
      <c r="H18" s="401"/>
      <c r="I18" s="401"/>
      <c r="J18" s="401"/>
      <c r="K18" s="401"/>
      <c r="L18" s="401"/>
      <c r="M18" s="401"/>
      <c r="N18" s="401"/>
      <c r="O18" s="401"/>
      <c r="P18" s="401"/>
      <c r="Q18" s="401"/>
      <c r="R18" s="427"/>
      <c r="S18" s="366">
        <f t="shared" si="1"/>
        <v>0</v>
      </c>
    </row>
    <row r="19" spans="1:20">
      <c r="A19" s="197">
        <v>10</v>
      </c>
      <c r="B19" s="47" t="s">
        <v>269</v>
      </c>
      <c r="C19" s="6"/>
      <c r="D19" s="48"/>
      <c r="E19" s="49"/>
      <c r="F19" s="50"/>
      <c r="G19" s="384" t="e">
        <f t="shared" ref="G19:S19" si="4">SUM(G9:G18)</f>
        <v>#REF!</v>
      </c>
      <c r="H19" s="408" t="e">
        <f t="shared" si="4"/>
        <v>#REF!</v>
      </c>
      <c r="I19" s="408" t="e">
        <f t="shared" si="4"/>
        <v>#REF!</v>
      </c>
      <c r="J19" s="408" t="e">
        <f t="shared" si="4"/>
        <v>#REF!</v>
      </c>
      <c r="K19" s="408" t="e">
        <f t="shared" si="4"/>
        <v>#REF!</v>
      </c>
      <c r="L19" s="408" t="e">
        <f t="shared" si="4"/>
        <v>#REF!</v>
      </c>
      <c r="M19" s="408" t="e">
        <f t="shared" si="4"/>
        <v>#REF!</v>
      </c>
      <c r="N19" s="408" t="e">
        <f t="shared" si="4"/>
        <v>#REF!</v>
      </c>
      <c r="O19" s="408" t="e">
        <f t="shared" si="4"/>
        <v>#REF!</v>
      </c>
      <c r="P19" s="408" t="e">
        <f t="shared" si="4"/>
        <v>#REF!</v>
      </c>
      <c r="Q19" s="408" t="e">
        <f t="shared" si="4"/>
        <v>#REF!</v>
      </c>
      <c r="R19" s="428" t="e">
        <f t="shared" si="4"/>
        <v>#REF!</v>
      </c>
      <c r="S19" s="428" t="e">
        <f t="shared" si="4"/>
        <v>#REF!</v>
      </c>
    </row>
    <row r="20" spans="1:20">
      <c r="A20" s="29"/>
      <c r="B20" s="35"/>
      <c r="C20" s="12"/>
      <c r="D20" s="12"/>
      <c r="E20" s="71"/>
      <c r="F20" s="72"/>
      <c r="G20" s="390"/>
      <c r="H20" s="399"/>
      <c r="I20" s="399"/>
      <c r="J20" s="399"/>
      <c r="K20" s="399"/>
      <c r="L20" s="399"/>
      <c r="M20" s="399"/>
      <c r="N20" s="399"/>
      <c r="O20" s="399"/>
      <c r="P20" s="399"/>
      <c r="Q20" s="399"/>
      <c r="R20" s="424"/>
      <c r="S20" s="424"/>
    </row>
    <row r="21" spans="1:20">
      <c r="A21" s="30"/>
      <c r="B21" s="25" t="s">
        <v>43</v>
      </c>
      <c r="C21" s="11"/>
      <c r="D21" s="11"/>
      <c r="E21" s="61"/>
      <c r="F21" s="62"/>
      <c r="G21" s="383"/>
      <c r="H21" s="400"/>
      <c r="I21" s="400"/>
      <c r="J21" s="400"/>
      <c r="K21" s="400"/>
      <c r="L21" s="400"/>
      <c r="M21" s="400"/>
      <c r="N21" s="400"/>
      <c r="O21" s="400"/>
      <c r="P21" s="400"/>
      <c r="Q21" s="400"/>
      <c r="R21" s="425"/>
      <c r="S21" s="425"/>
    </row>
    <row r="22" spans="1:20">
      <c r="A22" s="31"/>
      <c r="B22" s="36"/>
      <c r="C22" s="9" t="s">
        <v>44</v>
      </c>
      <c r="D22" s="9"/>
      <c r="E22" s="61"/>
      <c r="F22" s="62"/>
      <c r="G22" s="383"/>
      <c r="H22" s="400"/>
      <c r="I22" s="400"/>
      <c r="J22" s="400"/>
      <c r="K22" s="400"/>
      <c r="L22" s="400"/>
      <c r="M22" s="400"/>
      <c r="N22" s="400"/>
      <c r="O22" s="400"/>
      <c r="P22" s="400"/>
      <c r="Q22" s="400"/>
      <c r="R22" s="425"/>
      <c r="S22" s="425"/>
    </row>
    <row r="23" spans="1:20">
      <c r="A23" s="31">
        <v>11</v>
      </c>
      <c r="B23" s="36"/>
      <c r="C23" s="9"/>
      <c r="D23" s="9" t="s">
        <v>294</v>
      </c>
      <c r="E23" s="18"/>
      <c r="F23" s="19" t="s">
        <v>20</v>
      </c>
      <c r="G23" s="365">
        <f>'Yr 1 Operating Statement of Act'!G25/12</f>
        <v>64350.830140485312</v>
      </c>
      <c r="H23" s="397">
        <f t="shared" ref="H23:R24" si="5">G23</f>
        <v>64350.830140485312</v>
      </c>
      <c r="I23" s="397">
        <f t="shared" si="5"/>
        <v>64350.830140485312</v>
      </c>
      <c r="J23" s="397">
        <f t="shared" si="5"/>
        <v>64350.830140485312</v>
      </c>
      <c r="K23" s="397">
        <f t="shared" si="5"/>
        <v>64350.830140485312</v>
      </c>
      <c r="L23" s="397">
        <f t="shared" si="5"/>
        <v>64350.830140485312</v>
      </c>
      <c r="M23" s="397">
        <f t="shared" si="5"/>
        <v>64350.830140485312</v>
      </c>
      <c r="N23" s="397">
        <f t="shared" si="5"/>
        <v>64350.830140485312</v>
      </c>
      <c r="O23" s="397">
        <f t="shared" si="5"/>
        <v>64350.830140485312</v>
      </c>
      <c r="P23" s="397">
        <f t="shared" si="5"/>
        <v>64350.830140485312</v>
      </c>
      <c r="Q23" s="397">
        <f t="shared" si="5"/>
        <v>64350.830140485312</v>
      </c>
      <c r="R23" s="397">
        <f t="shared" si="5"/>
        <v>64350.830140485312</v>
      </c>
      <c r="S23" s="366">
        <f>SUM(G23:R23)</f>
        <v>772209.96168582374</v>
      </c>
    </row>
    <row r="24" spans="1:20">
      <c r="A24" s="192">
        <v>12</v>
      </c>
      <c r="B24" s="36"/>
      <c r="C24" s="9"/>
      <c r="D24" s="9" t="s">
        <v>45</v>
      </c>
      <c r="E24" s="18"/>
      <c r="F24" s="19" t="s">
        <v>46</v>
      </c>
      <c r="G24" s="365">
        <f>'Yr 1 Operating Statement of Act'!G26/12</f>
        <v>41989.537499999999</v>
      </c>
      <c r="H24" s="397">
        <f t="shared" si="5"/>
        <v>41989.537499999999</v>
      </c>
      <c r="I24" s="397">
        <f t="shared" si="5"/>
        <v>41989.537499999999</v>
      </c>
      <c r="J24" s="397">
        <f t="shared" si="5"/>
        <v>41989.537499999999</v>
      </c>
      <c r="K24" s="397">
        <f t="shared" si="5"/>
        <v>41989.537499999999</v>
      </c>
      <c r="L24" s="397">
        <f t="shared" si="5"/>
        <v>41989.537499999999</v>
      </c>
      <c r="M24" s="397">
        <f t="shared" si="5"/>
        <v>41989.537499999999</v>
      </c>
      <c r="N24" s="397">
        <f t="shared" si="5"/>
        <v>41989.537499999999</v>
      </c>
      <c r="O24" s="397">
        <f t="shared" si="5"/>
        <v>41989.537499999999</v>
      </c>
      <c r="P24" s="397">
        <f t="shared" si="5"/>
        <v>41989.537499999999</v>
      </c>
      <c r="Q24" s="397">
        <f t="shared" si="5"/>
        <v>41989.537499999999</v>
      </c>
      <c r="R24" s="397">
        <f t="shared" si="5"/>
        <v>41989.537499999999</v>
      </c>
      <c r="S24" s="366">
        <f>SUM(G24:R24)</f>
        <v>503874.4499999999</v>
      </c>
    </row>
    <row r="25" spans="1:20">
      <c r="A25" s="192"/>
      <c r="B25" s="36"/>
      <c r="C25" s="9" t="s">
        <v>47</v>
      </c>
      <c r="D25" s="9"/>
      <c r="E25" s="61"/>
      <c r="F25" s="62"/>
      <c r="G25" s="383"/>
      <c r="H25" s="400"/>
      <c r="I25" s="400"/>
      <c r="J25" s="400"/>
      <c r="K25" s="400"/>
      <c r="L25" s="400"/>
      <c r="M25" s="400"/>
      <c r="N25" s="400"/>
      <c r="O25" s="400"/>
      <c r="P25" s="400"/>
      <c r="Q25" s="400"/>
      <c r="R25" s="425"/>
      <c r="S25" s="425"/>
    </row>
    <row r="26" spans="1:20">
      <c r="A26" s="192">
        <v>13</v>
      </c>
      <c r="B26" s="36"/>
      <c r="C26" s="9"/>
      <c r="D26" s="9" t="s">
        <v>48</v>
      </c>
      <c r="E26" s="18"/>
      <c r="F26" s="19" t="s">
        <v>49</v>
      </c>
      <c r="G26" s="365">
        <f>'Yr 1 Operating Statement of Act'!G28/12</f>
        <v>375</v>
      </c>
      <c r="H26" s="397">
        <f t="shared" ref="H26:R28" si="6">G26</f>
        <v>375</v>
      </c>
      <c r="I26" s="397">
        <f t="shared" si="6"/>
        <v>375</v>
      </c>
      <c r="J26" s="397">
        <f t="shared" si="6"/>
        <v>375</v>
      </c>
      <c r="K26" s="397">
        <f t="shared" si="6"/>
        <v>375</v>
      </c>
      <c r="L26" s="397">
        <f t="shared" si="6"/>
        <v>375</v>
      </c>
      <c r="M26" s="397">
        <f t="shared" si="6"/>
        <v>375</v>
      </c>
      <c r="N26" s="397">
        <f t="shared" si="6"/>
        <v>375</v>
      </c>
      <c r="O26" s="397">
        <f t="shared" si="6"/>
        <v>375</v>
      </c>
      <c r="P26" s="397">
        <f t="shared" si="6"/>
        <v>375</v>
      </c>
      <c r="Q26" s="397">
        <f t="shared" si="6"/>
        <v>375</v>
      </c>
      <c r="R26" s="397">
        <f t="shared" si="6"/>
        <v>375</v>
      </c>
      <c r="S26" s="366">
        <f>SUM(G26:R26)</f>
        <v>4500</v>
      </c>
    </row>
    <row r="27" spans="1:20">
      <c r="A27" s="192">
        <v>14</v>
      </c>
      <c r="B27" s="36"/>
      <c r="C27" s="9"/>
      <c r="D27" s="9" t="s">
        <v>50</v>
      </c>
      <c r="E27" s="18"/>
      <c r="F27" s="19" t="s">
        <v>51</v>
      </c>
      <c r="G27" s="365">
        <f>'Yr 1 Operating Statement of Act'!G29/12</f>
        <v>0</v>
      </c>
      <c r="H27" s="397">
        <f t="shared" si="6"/>
        <v>0</v>
      </c>
      <c r="I27" s="397">
        <f t="shared" si="6"/>
        <v>0</v>
      </c>
      <c r="J27" s="397">
        <f t="shared" si="6"/>
        <v>0</v>
      </c>
      <c r="K27" s="397">
        <f t="shared" si="6"/>
        <v>0</v>
      </c>
      <c r="L27" s="397">
        <f t="shared" si="6"/>
        <v>0</v>
      </c>
      <c r="M27" s="397">
        <f t="shared" si="6"/>
        <v>0</v>
      </c>
      <c r="N27" s="397">
        <f t="shared" si="6"/>
        <v>0</v>
      </c>
      <c r="O27" s="397">
        <f t="shared" si="6"/>
        <v>0</v>
      </c>
      <c r="P27" s="397">
        <f t="shared" si="6"/>
        <v>0</v>
      </c>
      <c r="Q27" s="397">
        <f t="shared" si="6"/>
        <v>0</v>
      </c>
      <c r="R27" s="397">
        <f t="shared" si="6"/>
        <v>0</v>
      </c>
      <c r="S27" s="366">
        <f>SUM(G27:R27)</f>
        <v>0</v>
      </c>
    </row>
    <row r="28" spans="1:20">
      <c r="A28" s="194">
        <v>15</v>
      </c>
      <c r="B28" s="42"/>
      <c r="C28" s="43"/>
      <c r="D28" s="43" t="s">
        <v>52</v>
      </c>
      <c r="E28" s="22"/>
      <c r="F28" s="23" t="s">
        <v>53</v>
      </c>
      <c r="G28" s="365">
        <f>'Yr 1 Operating Statement of Act'!G30/12</f>
        <v>325</v>
      </c>
      <c r="H28" s="397">
        <f t="shared" si="6"/>
        <v>325</v>
      </c>
      <c r="I28" s="397">
        <f t="shared" si="6"/>
        <v>325</v>
      </c>
      <c r="J28" s="397">
        <f t="shared" si="6"/>
        <v>325</v>
      </c>
      <c r="K28" s="397">
        <f t="shared" si="6"/>
        <v>325</v>
      </c>
      <c r="L28" s="397">
        <f t="shared" si="6"/>
        <v>325</v>
      </c>
      <c r="M28" s="397">
        <f t="shared" si="6"/>
        <v>325</v>
      </c>
      <c r="N28" s="397">
        <f t="shared" si="6"/>
        <v>325</v>
      </c>
      <c r="O28" s="397">
        <f t="shared" si="6"/>
        <v>325</v>
      </c>
      <c r="P28" s="397">
        <f t="shared" si="6"/>
        <v>325</v>
      </c>
      <c r="Q28" s="397">
        <f t="shared" si="6"/>
        <v>325</v>
      </c>
      <c r="R28" s="397">
        <f t="shared" si="6"/>
        <v>325</v>
      </c>
      <c r="S28" s="366">
        <f>SUM(G28:R28)</f>
        <v>3900</v>
      </c>
    </row>
    <row r="29" spans="1:20" s="94" customFormat="1" ht="13">
      <c r="A29" s="196">
        <v>16</v>
      </c>
      <c r="B29" s="91"/>
      <c r="C29" s="82" t="s">
        <v>17</v>
      </c>
      <c r="D29" s="82"/>
      <c r="E29" s="92"/>
      <c r="F29" s="93"/>
      <c r="G29" s="446"/>
      <c r="H29" s="402"/>
      <c r="I29" s="402"/>
      <c r="J29" s="402"/>
      <c r="K29" s="402"/>
      <c r="L29" s="402"/>
      <c r="M29" s="402"/>
      <c r="N29" s="402"/>
      <c r="O29" s="402"/>
      <c r="P29" s="402"/>
      <c r="Q29" s="402"/>
      <c r="R29" s="426"/>
      <c r="S29" s="366">
        <f>SUM(G29:R29)</f>
        <v>0</v>
      </c>
    </row>
    <row r="30" spans="1:20">
      <c r="A30" s="194">
        <v>17</v>
      </c>
      <c r="B30" s="42"/>
      <c r="C30" s="43"/>
      <c r="D30" s="43"/>
      <c r="E30" s="22"/>
      <c r="F30" s="23"/>
      <c r="G30" s="385"/>
      <c r="H30" s="401"/>
      <c r="I30" s="401"/>
      <c r="J30" s="401"/>
      <c r="K30" s="401"/>
      <c r="L30" s="401"/>
      <c r="M30" s="401"/>
      <c r="N30" s="401"/>
      <c r="O30" s="401"/>
      <c r="P30" s="401"/>
      <c r="Q30" s="401"/>
      <c r="R30" s="427"/>
      <c r="S30" s="366">
        <f>SUM(G30:R30)</f>
        <v>0</v>
      </c>
    </row>
    <row r="31" spans="1:20">
      <c r="A31" s="197">
        <v>18</v>
      </c>
      <c r="B31" s="47" t="s">
        <v>270</v>
      </c>
      <c r="C31" s="6"/>
      <c r="D31" s="6"/>
      <c r="E31" s="49"/>
      <c r="F31" s="50"/>
      <c r="G31" s="384">
        <f t="shared" ref="G31:S31" si="7">SUM(G23:G30)</f>
        <v>107040.36764048532</v>
      </c>
      <c r="H31" s="408">
        <f t="shared" si="7"/>
        <v>107040.36764048532</v>
      </c>
      <c r="I31" s="408">
        <f t="shared" si="7"/>
        <v>107040.36764048532</v>
      </c>
      <c r="J31" s="408">
        <f t="shared" si="7"/>
        <v>107040.36764048532</v>
      </c>
      <c r="K31" s="408">
        <f t="shared" si="7"/>
        <v>107040.36764048532</v>
      </c>
      <c r="L31" s="408">
        <f t="shared" si="7"/>
        <v>107040.36764048532</v>
      </c>
      <c r="M31" s="408">
        <f t="shared" si="7"/>
        <v>107040.36764048532</v>
      </c>
      <c r="N31" s="408">
        <f t="shared" si="7"/>
        <v>107040.36764048532</v>
      </c>
      <c r="O31" s="408">
        <f t="shared" si="7"/>
        <v>107040.36764048532</v>
      </c>
      <c r="P31" s="408">
        <f t="shared" si="7"/>
        <v>107040.36764048532</v>
      </c>
      <c r="Q31" s="408">
        <f t="shared" si="7"/>
        <v>107040.36764048532</v>
      </c>
      <c r="R31" s="428">
        <f t="shared" si="7"/>
        <v>107040.36764048532</v>
      </c>
      <c r="S31" s="428">
        <f t="shared" si="7"/>
        <v>1284484.4116858237</v>
      </c>
      <c r="T31" s="2" t="b">
        <f>'Yr 1 Operating Statement of Act'!G33=S31</f>
        <v>1</v>
      </c>
    </row>
    <row r="32" spans="1:20" s="101" customFormat="1">
      <c r="A32" s="103"/>
      <c r="E32" s="102"/>
      <c r="F32" s="102"/>
      <c r="G32" s="376"/>
      <c r="H32" s="376"/>
      <c r="I32" s="376"/>
      <c r="J32" s="376"/>
      <c r="K32" s="376"/>
      <c r="L32" s="376"/>
      <c r="M32" s="376"/>
      <c r="N32" s="376"/>
      <c r="O32" s="376"/>
      <c r="P32" s="376"/>
      <c r="Q32" s="376"/>
      <c r="R32" s="376"/>
      <c r="S32" s="376"/>
    </row>
    <row r="33" spans="1:19" s="101" customFormat="1">
      <c r="A33" s="100"/>
      <c r="E33" s="102"/>
      <c r="F33" s="102"/>
      <c r="G33" s="376"/>
      <c r="H33" s="376"/>
      <c r="I33" s="376"/>
      <c r="J33" s="376"/>
      <c r="K33" s="376"/>
      <c r="L33" s="376"/>
      <c r="M33" s="376"/>
      <c r="N33" s="376"/>
      <c r="O33" s="376"/>
      <c r="P33" s="376"/>
      <c r="Q33" s="376"/>
      <c r="R33" s="376"/>
      <c r="S33" s="376"/>
    </row>
    <row r="34" spans="1:19" s="101" customFormat="1">
      <c r="A34" s="100"/>
      <c r="E34" s="102"/>
      <c r="F34" s="102"/>
      <c r="G34" s="376"/>
      <c r="H34" s="376"/>
      <c r="I34" s="376"/>
      <c r="J34" s="376"/>
      <c r="K34" s="376"/>
      <c r="L34" s="376"/>
      <c r="M34" s="376"/>
      <c r="N34" s="376"/>
      <c r="O34" s="376"/>
      <c r="P34" s="376"/>
      <c r="Q34" s="376"/>
      <c r="R34" s="376"/>
      <c r="S34" s="376"/>
    </row>
    <row r="35" spans="1:19" s="101" customFormat="1">
      <c r="A35" s="100"/>
      <c r="E35" s="102"/>
      <c r="F35" s="102"/>
      <c r="G35" s="376"/>
      <c r="H35" s="376"/>
      <c r="I35" s="376"/>
      <c r="J35" s="376"/>
      <c r="K35" s="376"/>
      <c r="L35" s="376"/>
      <c r="M35" s="376"/>
      <c r="N35" s="376"/>
      <c r="O35" s="376"/>
      <c r="P35" s="376"/>
      <c r="Q35" s="376"/>
      <c r="R35" s="376"/>
      <c r="S35" s="376"/>
    </row>
    <row r="36" spans="1:19" s="101" customFormat="1" ht="42" customHeight="1">
      <c r="A36" s="493" t="s">
        <v>10</v>
      </c>
      <c r="B36" s="510"/>
      <c r="C36" s="510"/>
      <c r="D36" s="510"/>
      <c r="E36" s="510"/>
      <c r="F36" s="510"/>
      <c r="G36" s="510"/>
      <c r="H36" s="510"/>
      <c r="I36" s="510"/>
      <c r="J36" s="510"/>
      <c r="K36" s="510"/>
      <c r="L36" s="376"/>
      <c r="M36" s="376"/>
      <c r="N36" s="376"/>
      <c r="O36" s="376"/>
      <c r="P36" s="376"/>
      <c r="Q36" s="376"/>
      <c r="R36" s="376"/>
      <c r="S36" s="376"/>
    </row>
    <row r="37" spans="1:19" s="101" customFormat="1">
      <c r="A37" s="100"/>
      <c r="E37" s="102"/>
      <c r="F37" s="102"/>
      <c r="G37" s="376"/>
      <c r="H37" s="376"/>
      <c r="I37" s="376"/>
      <c r="J37" s="376"/>
      <c r="K37" s="376"/>
      <c r="L37" s="376"/>
      <c r="M37" s="376"/>
      <c r="N37" s="376"/>
      <c r="O37" s="376"/>
      <c r="P37" s="376"/>
      <c r="Q37" s="376"/>
      <c r="R37" s="376"/>
      <c r="S37" s="376"/>
    </row>
    <row r="38" spans="1:19" s="101" customFormat="1">
      <c r="A38" s="100"/>
      <c r="E38" s="102"/>
      <c r="F38" s="102"/>
      <c r="G38" s="376"/>
      <c r="H38" s="376"/>
      <c r="I38" s="376"/>
      <c r="J38" s="376"/>
      <c r="K38" s="376"/>
      <c r="L38" s="376"/>
      <c r="M38" s="376"/>
      <c r="N38" s="376"/>
      <c r="O38" s="376"/>
      <c r="P38" s="376"/>
      <c r="Q38" s="376"/>
      <c r="R38" s="376"/>
      <c r="S38" s="376"/>
    </row>
    <row r="39" spans="1:19">
      <c r="A39" s="198"/>
      <c r="B39" s="26" t="s">
        <v>54</v>
      </c>
      <c r="C39" s="24"/>
      <c r="D39" s="24"/>
      <c r="E39" s="71"/>
      <c r="F39" s="138"/>
      <c r="G39" s="390"/>
      <c r="H39" s="399"/>
      <c r="I39" s="399"/>
      <c r="J39" s="399"/>
      <c r="K39" s="399"/>
      <c r="L39" s="399"/>
      <c r="M39" s="399"/>
      <c r="N39" s="399"/>
      <c r="O39" s="399"/>
      <c r="P39" s="399"/>
      <c r="Q39" s="399"/>
      <c r="R39" s="424"/>
      <c r="S39" s="424"/>
    </row>
    <row r="40" spans="1:19">
      <c r="A40" s="192"/>
      <c r="B40" s="36"/>
      <c r="C40" s="9" t="s">
        <v>256</v>
      </c>
      <c r="D40" s="9"/>
      <c r="E40" s="61"/>
      <c r="F40" s="139"/>
      <c r="G40" s="383"/>
      <c r="H40" s="400"/>
      <c r="I40" s="400"/>
      <c r="J40" s="400"/>
      <c r="K40" s="400"/>
      <c r="L40" s="400"/>
      <c r="M40" s="400"/>
      <c r="N40" s="400"/>
      <c r="O40" s="400"/>
      <c r="P40" s="400"/>
      <c r="Q40" s="400"/>
      <c r="R40" s="425"/>
      <c r="S40" s="425"/>
    </row>
    <row r="41" spans="1:19">
      <c r="A41" s="192">
        <v>19</v>
      </c>
      <c r="B41" s="36"/>
      <c r="C41" s="9"/>
      <c r="D41" s="9" t="s">
        <v>55</v>
      </c>
      <c r="E41" s="18"/>
      <c r="F41" s="140" t="s">
        <v>56</v>
      </c>
      <c r="G41" s="365">
        <v>0</v>
      </c>
      <c r="H41" s="397">
        <f t="shared" ref="H41" si="8">G41</f>
        <v>0</v>
      </c>
      <c r="I41" s="397"/>
      <c r="J41" s="397"/>
      <c r="K41" s="397"/>
      <c r="L41" s="397"/>
      <c r="M41" s="397"/>
      <c r="N41" s="397"/>
      <c r="O41" s="397"/>
      <c r="P41" s="397"/>
      <c r="Q41" s="397"/>
      <c r="R41" s="366"/>
      <c r="S41" s="366">
        <f>SUM(G41:R41)</f>
        <v>0</v>
      </c>
    </row>
    <row r="42" spans="1:19">
      <c r="A42" s="192"/>
      <c r="B42" s="36"/>
      <c r="C42" s="9" t="s">
        <v>257</v>
      </c>
      <c r="D42" s="9"/>
      <c r="E42" s="61"/>
      <c r="F42" s="139"/>
      <c r="G42" s="383"/>
      <c r="H42" s="400"/>
      <c r="I42" s="400"/>
      <c r="J42" s="400"/>
      <c r="K42" s="400"/>
      <c r="L42" s="400"/>
      <c r="M42" s="400"/>
      <c r="N42" s="400"/>
      <c r="O42" s="400"/>
      <c r="P42" s="400"/>
      <c r="Q42" s="400"/>
      <c r="R42" s="425"/>
      <c r="S42" s="425"/>
    </row>
    <row r="43" spans="1:19">
      <c r="A43" s="192">
        <v>20</v>
      </c>
      <c r="B43" s="36"/>
      <c r="C43" s="9"/>
      <c r="D43" s="9" t="s">
        <v>57</v>
      </c>
      <c r="E43" s="18"/>
      <c r="F43" s="140" t="s">
        <v>58</v>
      </c>
      <c r="G43" s="365">
        <v>0</v>
      </c>
      <c r="H43" s="397">
        <f t="shared" ref="H43" si="9">G43</f>
        <v>0</v>
      </c>
      <c r="I43" s="397"/>
      <c r="J43" s="397"/>
      <c r="K43" s="397"/>
      <c r="L43" s="397"/>
      <c r="M43" s="397"/>
      <c r="N43" s="397"/>
      <c r="O43" s="397"/>
      <c r="P43" s="397"/>
      <c r="Q43" s="397"/>
      <c r="R43" s="366"/>
      <c r="S43" s="366">
        <f>SUM(G43:R43)</f>
        <v>0</v>
      </c>
    </row>
    <row r="44" spans="1:19">
      <c r="A44" s="192"/>
      <c r="B44" s="36"/>
      <c r="C44" s="9" t="s">
        <v>21</v>
      </c>
      <c r="D44" s="9"/>
      <c r="E44" s="61"/>
      <c r="F44" s="139"/>
      <c r="G44" s="383"/>
      <c r="H44" s="400"/>
      <c r="I44" s="400"/>
      <c r="J44" s="400"/>
      <c r="K44" s="400"/>
      <c r="L44" s="400"/>
      <c r="M44" s="400"/>
      <c r="N44" s="400"/>
      <c r="O44" s="400"/>
      <c r="P44" s="400"/>
      <c r="Q44" s="400"/>
      <c r="R44" s="425"/>
      <c r="S44" s="425"/>
    </row>
    <row r="45" spans="1:19">
      <c r="A45" s="192">
        <v>21</v>
      </c>
      <c r="B45" s="36"/>
      <c r="C45" s="9"/>
      <c r="D45" s="9" t="s">
        <v>59</v>
      </c>
      <c r="E45" s="18"/>
      <c r="F45" s="140" t="s">
        <v>60</v>
      </c>
      <c r="G45" s="365">
        <v>0</v>
      </c>
      <c r="H45" s="397"/>
      <c r="I45" s="397">
        <f>'Yr 1 Operating Statement of Act'!G47/11</f>
        <v>25909.090909090908</v>
      </c>
      <c r="J45" s="397">
        <f>I45</f>
        <v>25909.090909090908</v>
      </c>
      <c r="K45" s="397">
        <f t="shared" ref="K45:R45" si="10">J45</f>
        <v>25909.090909090908</v>
      </c>
      <c r="L45" s="397">
        <f t="shared" si="10"/>
        <v>25909.090909090908</v>
      </c>
      <c r="M45" s="397">
        <f t="shared" si="10"/>
        <v>25909.090909090908</v>
      </c>
      <c r="N45" s="397">
        <f t="shared" si="10"/>
        <v>25909.090909090908</v>
      </c>
      <c r="O45" s="397">
        <f t="shared" si="10"/>
        <v>25909.090909090908</v>
      </c>
      <c r="P45" s="397">
        <f t="shared" si="10"/>
        <v>25909.090909090908</v>
      </c>
      <c r="Q45" s="397">
        <f t="shared" si="10"/>
        <v>25909.090909090908</v>
      </c>
      <c r="R45" s="397">
        <f t="shared" si="10"/>
        <v>25909.090909090908</v>
      </c>
      <c r="S45" s="366">
        <f>SUM(G45:R45)</f>
        <v>259090.90909090909</v>
      </c>
    </row>
    <row r="46" spans="1:19">
      <c r="A46" s="192"/>
      <c r="B46" s="36"/>
      <c r="C46" s="9"/>
      <c r="D46" s="9" t="s">
        <v>61</v>
      </c>
      <c r="E46" s="61"/>
      <c r="F46" s="139"/>
      <c r="G46" s="383"/>
      <c r="H46" s="400"/>
      <c r="I46" s="400"/>
      <c r="J46" s="400"/>
      <c r="K46" s="400"/>
      <c r="L46" s="400"/>
      <c r="M46" s="400"/>
      <c r="N46" s="400"/>
      <c r="O46" s="400"/>
      <c r="P46" s="400"/>
      <c r="Q46" s="400"/>
      <c r="R46" s="425"/>
      <c r="S46" s="425"/>
    </row>
    <row r="47" spans="1:19">
      <c r="A47" s="192">
        <v>22</v>
      </c>
      <c r="B47" s="36"/>
      <c r="C47" s="9"/>
      <c r="D47" s="9" t="s">
        <v>258</v>
      </c>
      <c r="E47" s="18"/>
      <c r="F47" s="140" t="s">
        <v>62</v>
      </c>
      <c r="G47" s="365"/>
      <c r="H47" s="397">
        <f t="shared" ref="H47:H49" si="11">G47</f>
        <v>0</v>
      </c>
      <c r="I47" s="397">
        <f>'Yr 1 Operating Statement of Act'!G49/11</f>
        <v>5460.6404958677685</v>
      </c>
      <c r="J47" s="397">
        <f>I47</f>
        <v>5460.6404958677685</v>
      </c>
      <c r="K47" s="397">
        <f t="shared" ref="K47:R47" si="12">J47</f>
        <v>5460.6404958677685</v>
      </c>
      <c r="L47" s="397">
        <f t="shared" si="12"/>
        <v>5460.6404958677685</v>
      </c>
      <c r="M47" s="397">
        <f t="shared" si="12"/>
        <v>5460.6404958677685</v>
      </c>
      <c r="N47" s="397">
        <f t="shared" si="12"/>
        <v>5460.6404958677685</v>
      </c>
      <c r="O47" s="397">
        <f t="shared" si="12"/>
        <v>5460.6404958677685</v>
      </c>
      <c r="P47" s="397">
        <f t="shared" si="12"/>
        <v>5460.6404958677685</v>
      </c>
      <c r="Q47" s="397">
        <f t="shared" si="12"/>
        <v>5460.6404958677685</v>
      </c>
      <c r="R47" s="397">
        <f t="shared" si="12"/>
        <v>5460.6404958677685</v>
      </c>
      <c r="S47" s="366">
        <f>SUM(G47:R47)</f>
        <v>54606.404958677675</v>
      </c>
    </row>
    <row r="48" spans="1:19">
      <c r="A48" s="192">
        <v>23</v>
      </c>
      <c r="B48" s="36"/>
      <c r="C48" s="9"/>
      <c r="D48" s="9" t="s">
        <v>259</v>
      </c>
      <c r="E48" s="18"/>
      <c r="F48" s="140" t="s">
        <v>63</v>
      </c>
      <c r="G48" s="365"/>
      <c r="H48" s="397">
        <f t="shared" si="11"/>
        <v>0</v>
      </c>
      <c r="I48" s="397">
        <f>'Yr 1 Operating Statement of Act'!G50/11</f>
        <v>0</v>
      </c>
      <c r="J48" s="397">
        <f>I48</f>
        <v>0</v>
      </c>
      <c r="K48" s="397">
        <f t="shared" ref="K48:R48" si="13">J48</f>
        <v>0</v>
      </c>
      <c r="L48" s="397">
        <f t="shared" si="13"/>
        <v>0</v>
      </c>
      <c r="M48" s="397">
        <f t="shared" si="13"/>
        <v>0</v>
      </c>
      <c r="N48" s="397">
        <f t="shared" si="13"/>
        <v>0</v>
      </c>
      <c r="O48" s="397">
        <f t="shared" si="13"/>
        <v>0</v>
      </c>
      <c r="P48" s="397">
        <f t="shared" si="13"/>
        <v>0</v>
      </c>
      <c r="Q48" s="397">
        <f t="shared" si="13"/>
        <v>0</v>
      </c>
      <c r="R48" s="397">
        <f t="shared" si="13"/>
        <v>0</v>
      </c>
      <c r="S48" s="366">
        <f>SUM(G48:R48)</f>
        <v>0</v>
      </c>
    </row>
    <row r="49" spans="1:19">
      <c r="A49" s="192">
        <v>24</v>
      </c>
      <c r="B49" s="36"/>
      <c r="C49" s="9"/>
      <c r="D49" s="9" t="s">
        <v>260</v>
      </c>
      <c r="E49" s="18"/>
      <c r="F49" s="140" t="s">
        <v>64</v>
      </c>
      <c r="G49" s="365"/>
      <c r="H49" s="397">
        <f t="shared" si="11"/>
        <v>0</v>
      </c>
      <c r="I49" s="397">
        <f>'Yr 1 Operating Statement of Act'!G51/11</f>
        <v>409.09090909090907</v>
      </c>
      <c r="J49" s="397">
        <f>I49</f>
        <v>409.09090909090907</v>
      </c>
      <c r="K49" s="397">
        <f t="shared" ref="K49:R49" si="14">J49</f>
        <v>409.09090909090907</v>
      </c>
      <c r="L49" s="397">
        <f t="shared" si="14"/>
        <v>409.09090909090907</v>
      </c>
      <c r="M49" s="397">
        <f t="shared" si="14"/>
        <v>409.09090909090907</v>
      </c>
      <c r="N49" s="397">
        <f t="shared" si="14"/>
        <v>409.09090909090907</v>
      </c>
      <c r="O49" s="397">
        <f t="shared" si="14"/>
        <v>409.09090909090907</v>
      </c>
      <c r="P49" s="397">
        <f t="shared" si="14"/>
        <v>409.09090909090907</v>
      </c>
      <c r="Q49" s="397">
        <f t="shared" si="14"/>
        <v>409.09090909090907</v>
      </c>
      <c r="R49" s="397">
        <f t="shared" si="14"/>
        <v>409.09090909090907</v>
      </c>
      <c r="S49" s="366">
        <f>SUM(G49:R49)</f>
        <v>4090.9090909090905</v>
      </c>
    </row>
    <row r="50" spans="1:19">
      <c r="A50" s="192"/>
      <c r="B50" s="36"/>
      <c r="C50" s="9"/>
      <c r="D50" s="9" t="s">
        <v>278</v>
      </c>
      <c r="E50" s="61"/>
      <c r="F50" s="139"/>
      <c r="G50" s="383"/>
      <c r="H50" s="400"/>
      <c r="I50" s="400"/>
      <c r="J50" s="400"/>
      <c r="K50" s="400"/>
      <c r="L50" s="400"/>
      <c r="M50" s="400"/>
      <c r="N50" s="400"/>
      <c r="O50" s="400"/>
      <c r="P50" s="400"/>
      <c r="Q50" s="400"/>
      <c r="R50" s="425"/>
      <c r="S50" s="425"/>
    </row>
    <row r="51" spans="1:19">
      <c r="A51" s="192">
        <v>25</v>
      </c>
      <c r="B51" s="36"/>
      <c r="C51" s="9"/>
      <c r="D51" s="9" t="s">
        <v>261</v>
      </c>
      <c r="E51" s="18"/>
      <c r="F51" s="140" t="s">
        <v>65</v>
      </c>
      <c r="G51" s="365"/>
      <c r="H51" s="397">
        <f t="shared" ref="H51:H56" si="15">G51</f>
        <v>0</v>
      </c>
      <c r="I51" s="397">
        <f>'Yr 1 Operating Statement of Act'!G53/11</f>
        <v>19383.953168044078</v>
      </c>
      <c r="J51" s="397">
        <f>I51</f>
        <v>19383.953168044078</v>
      </c>
      <c r="K51" s="397">
        <f t="shared" ref="K51:R51" si="16">J51</f>
        <v>19383.953168044078</v>
      </c>
      <c r="L51" s="397">
        <f t="shared" si="16"/>
        <v>19383.953168044078</v>
      </c>
      <c r="M51" s="397">
        <f t="shared" si="16"/>
        <v>19383.953168044078</v>
      </c>
      <c r="N51" s="397">
        <f t="shared" si="16"/>
        <v>19383.953168044078</v>
      </c>
      <c r="O51" s="397">
        <f t="shared" si="16"/>
        <v>19383.953168044078</v>
      </c>
      <c r="P51" s="397">
        <f t="shared" si="16"/>
        <v>19383.953168044078</v>
      </c>
      <c r="Q51" s="397">
        <f t="shared" si="16"/>
        <v>19383.953168044078</v>
      </c>
      <c r="R51" s="397">
        <f t="shared" si="16"/>
        <v>19383.953168044078</v>
      </c>
      <c r="S51" s="366">
        <f t="shared" ref="S51:S57" si="17">SUM(G51:R51)</f>
        <v>193839.53168044073</v>
      </c>
    </row>
    <row r="52" spans="1:19">
      <c r="A52" s="192">
        <v>26</v>
      </c>
      <c r="B52" s="36"/>
      <c r="C52" s="9"/>
      <c r="D52" s="9" t="s">
        <v>262</v>
      </c>
      <c r="E52" s="18"/>
      <c r="F52" s="140" t="s">
        <v>66</v>
      </c>
      <c r="G52" s="365"/>
      <c r="H52" s="397">
        <f t="shared" si="15"/>
        <v>0</v>
      </c>
      <c r="I52" s="397">
        <f>'Yr 1 Operating Statement of Act'!G54/11</f>
        <v>0</v>
      </c>
      <c r="J52" s="397">
        <f t="shared" ref="J52:R56" si="18">I52</f>
        <v>0</v>
      </c>
      <c r="K52" s="397">
        <f t="shared" si="18"/>
        <v>0</v>
      </c>
      <c r="L52" s="397">
        <f t="shared" si="18"/>
        <v>0</v>
      </c>
      <c r="M52" s="397">
        <f t="shared" si="18"/>
        <v>0</v>
      </c>
      <c r="N52" s="397">
        <f t="shared" si="18"/>
        <v>0</v>
      </c>
      <c r="O52" s="397">
        <f t="shared" si="18"/>
        <v>0</v>
      </c>
      <c r="P52" s="397">
        <f t="shared" si="18"/>
        <v>0</v>
      </c>
      <c r="Q52" s="397">
        <f t="shared" si="18"/>
        <v>0</v>
      </c>
      <c r="R52" s="397">
        <f t="shared" si="18"/>
        <v>0</v>
      </c>
      <c r="S52" s="366">
        <f t="shared" si="17"/>
        <v>0</v>
      </c>
    </row>
    <row r="53" spans="1:19">
      <c r="A53" s="192">
        <v>27</v>
      </c>
      <c r="B53" s="36"/>
      <c r="C53" s="9"/>
      <c r="D53" s="9" t="s">
        <v>279</v>
      </c>
      <c r="E53" s="18"/>
      <c r="F53" s="140" t="s">
        <v>67</v>
      </c>
      <c r="G53" s="365"/>
      <c r="H53" s="397">
        <f t="shared" si="15"/>
        <v>0</v>
      </c>
      <c r="I53" s="397">
        <f>'Yr 1 Operating Statement of Act'!G55/11</f>
        <v>0</v>
      </c>
      <c r="J53" s="397">
        <f t="shared" si="18"/>
        <v>0</v>
      </c>
      <c r="K53" s="397">
        <f t="shared" si="18"/>
        <v>0</v>
      </c>
      <c r="L53" s="397">
        <f t="shared" si="18"/>
        <v>0</v>
      </c>
      <c r="M53" s="397">
        <f t="shared" si="18"/>
        <v>0</v>
      </c>
      <c r="N53" s="397">
        <f t="shared" si="18"/>
        <v>0</v>
      </c>
      <c r="O53" s="397">
        <f t="shared" si="18"/>
        <v>0</v>
      </c>
      <c r="P53" s="397">
        <f t="shared" si="18"/>
        <v>0</v>
      </c>
      <c r="Q53" s="397">
        <f t="shared" si="18"/>
        <v>0</v>
      </c>
      <c r="R53" s="397">
        <f t="shared" si="18"/>
        <v>0</v>
      </c>
      <c r="S53" s="366">
        <f t="shared" si="17"/>
        <v>0</v>
      </c>
    </row>
    <row r="54" spans="1:19">
      <c r="A54" s="192">
        <v>28</v>
      </c>
      <c r="B54" s="36"/>
      <c r="C54" s="9"/>
      <c r="D54" s="9" t="s">
        <v>263</v>
      </c>
      <c r="E54" s="18"/>
      <c r="F54" s="140" t="s">
        <v>68</v>
      </c>
      <c r="G54" s="365"/>
      <c r="H54" s="397">
        <f t="shared" si="15"/>
        <v>0</v>
      </c>
      <c r="I54" s="397">
        <f>'Yr 1 Operating Statement of Act'!G56/11</f>
        <v>241.81818181818181</v>
      </c>
      <c r="J54" s="397">
        <f t="shared" si="18"/>
        <v>241.81818181818181</v>
      </c>
      <c r="K54" s="397">
        <f t="shared" si="18"/>
        <v>241.81818181818181</v>
      </c>
      <c r="L54" s="397">
        <f t="shared" si="18"/>
        <v>241.81818181818181</v>
      </c>
      <c r="M54" s="397">
        <f t="shared" si="18"/>
        <v>241.81818181818181</v>
      </c>
      <c r="N54" s="397">
        <f t="shared" si="18"/>
        <v>241.81818181818181</v>
      </c>
      <c r="O54" s="397">
        <f t="shared" si="18"/>
        <v>241.81818181818181</v>
      </c>
      <c r="P54" s="397">
        <f t="shared" si="18"/>
        <v>241.81818181818181</v>
      </c>
      <c r="Q54" s="397">
        <f t="shared" si="18"/>
        <v>241.81818181818181</v>
      </c>
      <c r="R54" s="397">
        <f t="shared" si="18"/>
        <v>241.81818181818181</v>
      </c>
      <c r="S54" s="366">
        <f t="shared" si="17"/>
        <v>2418.181818181818</v>
      </c>
    </row>
    <row r="55" spans="1:19">
      <c r="A55" s="192">
        <v>29</v>
      </c>
      <c r="B55" s="36"/>
      <c r="C55" s="9"/>
      <c r="D55" s="9" t="s">
        <v>280</v>
      </c>
      <c r="E55" s="18"/>
      <c r="F55" s="140" t="s">
        <v>69</v>
      </c>
      <c r="G55" s="365"/>
      <c r="H55" s="397">
        <f t="shared" si="15"/>
        <v>0</v>
      </c>
      <c r="I55" s="397">
        <f>'Yr 1 Operating Statement of Act'!G57/11</f>
        <v>909.6763085399449</v>
      </c>
      <c r="J55" s="397">
        <f t="shared" si="18"/>
        <v>909.6763085399449</v>
      </c>
      <c r="K55" s="397">
        <f t="shared" si="18"/>
        <v>909.6763085399449</v>
      </c>
      <c r="L55" s="397">
        <f t="shared" si="18"/>
        <v>909.6763085399449</v>
      </c>
      <c r="M55" s="397">
        <f t="shared" si="18"/>
        <v>909.6763085399449</v>
      </c>
      <c r="N55" s="397">
        <f t="shared" si="18"/>
        <v>909.6763085399449</v>
      </c>
      <c r="O55" s="397">
        <f t="shared" si="18"/>
        <v>909.6763085399449</v>
      </c>
      <c r="P55" s="397">
        <f t="shared" si="18"/>
        <v>909.6763085399449</v>
      </c>
      <c r="Q55" s="397">
        <f t="shared" si="18"/>
        <v>909.6763085399449</v>
      </c>
      <c r="R55" s="397">
        <f t="shared" si="18"/>
        <v>909.6763085399449</v>
      </c>
      <c r="S55" s="366">
        <f t="shared" si="17"/>
        <v>9096.7630853994506</v>
      </c>
    </row>
    <row r="56" spans="1:19">
      <c r="A56" s="192">
        <v>30</v>
      </c>
      <c r="B56" s="36"/>
      <c r="C56" s="9"/>
      <c r="D56" s="9" t="s">
        <v>264</v>
      </c>
      <c r="E56" s="18"/>
      <c r="F56" s="140" t="s">
        <v>70</v>
      </c>
      <c r="G56" s="365"/>
      <c r="H56" s="397">
        <f t="shared" si="15"/>
        <v>0</v>
      </c>
      <c r="I56" s="397">
        <f>'Yr 1 Operating Statement of Act'!G58/11</f>
        <v>909.09090909090912</v>
      </c>
      <c r="J56" s="397">
        <f t="shared" si="18"/>
        <v>909.09090909090912</v>
      </c>
      <c r="K56" s="397">
        <f t="shared" si="18"/>
        <v>909.09090909090912</v>
      </c>
      <c r="L56" s="397">
        <f t="shared" si="18"/>
        <v>909.09090909090912</v>
      </c>
      <c r="M56" s="397">
        <f t="shared" si="18"/>
        <v>909.09090909090912</v>
      </c>
      <c r="N56" s="397">
        <f t="shared" si="18"/>
        <v>909.09090909090912</v>
      </c>
      <c r="O56" s="397">
        <f t="shared" si="18"/>
        <v>909.09090909090912</v>
      </c>
      <c r="P56" s="397">
        <f t="shared" si="18"/>
        <v>909.09090909090912</v>
      </c>
      <c r="Q56" s="397">
        <f t="shared" si="18"/>
        <v>909.09090909090912</v>
      </c>
      <c r="R56" s="397">
        <f t="shared" si="18"/>
        <v>909.09090909090912</v>
      </c>
      <c r="S56" s="366">
        <f t="shared" si="17"/>
        <v>9090.9090909090919</v>
      </c>
    </row>
    <row r="57" spans="1:19">
      <c r="A57" s="192">
        <v>31</v>
      </c>
      <c r="B57" s="36"/>
      <c r="C57" s="9"/>
      <c r="D57" s="9" t="s">
        <v>71</v>
      </c>
      <c r="E57" s="18"/>
      <c r="F57" s="140" t="s">
        <v>72</v>
      </c>
      <c r="G57" s="365"/>
      <c r="H57" s="397">
        <f>'Yr 1 Operating Statement of Act'!G59</f>
        <v>75000</v>
      </c>
      <c r="I57" s="397"/>
      <c r="J57" s="397"/>
      <c r="K57" s="397"/>
      <c r="L57" s="397"/>
      <c r="M57" s="397"/>
      <c r="N57" s="397"/>
      <c r="O57" s="397"/>
      <c r="P57" s="397"/>
      <c r="Q57" s="397"/>
      <c r="R57" s="366"/>
      <c r="S57" s="366">
        <f t="shared" si="17"/>
        <v>75000</v>
      </c>
    </row>
    <row r="58" spans="1:19">
      <c r="A58" s="192"/>
      <c r="B58" s="36"/>
      <c r="C58" s="9" t="s">
        <v>73</v>
      </c>
      <c r="D58" s="9"/>
      <c r="E58" s="73"/>
      <c r="F58" s="141"/>
      <c r="G58" s="383"/>
      <c r="H58" s="400"/>
      <c r="I58" s="400"/>
      <c r="J58" s="400"/>
      <c r="K58" s="400"/>
      <c r="L58" s="400"/>
      <c r="M58" s="400"/>
      <c r="N58" s="400"/>
      <c r="O58" s="400"/>
      <c r="P58" s="400"/>
      <c r="Q58" s="400"/>
      <c r="R58" s="425"/>
      <c r="S58" s="425"/>
    </row>
    <row r="59" spans="1:19">
      <c r="A59" s="192">
        <v>32</v>
      </c>
      <c r="B59" s="36"/>
      <c r="C59" s="9"/>
      <c r="D59" s="9" t="s">
        <v>74</v>
      </c>
      <c r="E59" s="18"/>
      <c r="F59" s="140" t="s">
        <v>75</v>
      </c>
      <c r="G59" s="365"/>
      <c r="H59" s="397">
        <f t="shared" ref="H59:H62" si="19">G59</f>
        <v>0</v>
      </c>
      <c r="I59" s="397">
        <f>'Yr 1 Operating Statement of Act'!G61/11</f>
        <v>1743.8181818181818</v>
      </c>
      <c r="J59" s="397">
        <f>I59</f>
        <v>1743.8181818181818</v>
      </c>
      <c r="K59" s="397">
        <f t="shared" ref="K59:R59" si="20">J59</f>
        <v>1743.8181818181818</v>
      </c>
      <c r="L59" s="397">
        <f t="shared" si="20"/>
        <v>1743.8181818181818</v>
      </c>
      <c r="M59" s="397">
        <f t="shared" si="20"/>
        <v>1743.8181818181818</v>
      </c>
      <c r="N59" s="397">
        <f t="shared" si="20"/>
        <v>1743.8181818181818</v>
      </c>
      <c r="O59" s="397">
        <f t="shared" si="20"/>
        <v>1743.8181818181818</v>
      </c>
      <c r="P59" s="397">
        <f t="shared" si="20"/>
        <v>1743.8181818181818</v>
      </c>
      <c r="Q59" s="397">
        <f t="shared" si="20"/>
        <v>1743.8181818181818</v>
      </c>
      <c r="R59" s="397">
        <f t="shared" si="20"/>
        <v>1743.8181818181818</v>
      </c>
      <c r="S59" s="366">
        <f>SUM(G59:R59)</f>
        <v>17438.181818181816</v>
      </c>
    </row>
    <row r="60" spans="1:19" s="94" customFormat="1" ht="14.25" customHeight="1">
      <c r="A60" s="196">
        <v>33</v>
      </c>
      <c r="B60" s="91"/>
      <c r="C60" s="82" t="s">
        <v>17</v>
      </c>
      <c r="D60" s="82"/>
      <c r="E60" s="92"/>
      <c r="F60" s="142"/>
      <c r="G60" s="446"/>
      <c r="H60" s="397">
        <f t="shared" si="19"/>
        <v>0</v>
      </c>
      <c r="I60" s="402"/>
      <c r="J60" s="402"/>
      <c r="K60" s="402"/>
      <c r="L60" s="402"/>
      <c r="M60" s="402"/>
      <c r="N60" s="402"/>
      <c r="O60" s="402"/>
      <c r="P60" s="402"/>
      <c r="Q60" s="402"/>
      <c r="R60" s="426"/>
      <c r="S60" s="366">
        <f>SUM(G60:R60)</f>
        <v>0</v>
      </c>
    </row>
    <row r="61" spans="1:19" s="94" customFormat="1" ht="14.25" customHeight="1">
      <c r="A61" s="196">
        <v>34</v>
      </c>
      <c r="B61" s="91"/>
      <c r="C61" s="82"/>
      <c r="D61" s="82"/>
      <c r="E61" s="92"/>
      <c r="F61" s="142"/>
      <c r="G61" s="446"/>
      <c r="H61" s="397">
        <f t="shared" si="19"/>
        <v>0</v>
      </c>
      <c r="I61" s="402"/>
      <c r="J61" s="402"/>
      <c r="K61" s="402"/>
      <c r="L61" s="402"/>
      <c r="M61" s="402"/>
      <c r="N61" s="402"/>
      <c r="O61" s="402"/>
      <c r="P61" s="402"/>
      <c r="Q61" s="402"/>
      <c r="R61" s="426"/>
      <c r="S61" s="366">
        <f>SUM(G61:R61)</f>
        <v>0</v>
      </c>
    </row>
    <row r="62" spans="1:19">
      <c r="A62" s="194">
        <v>35</v>
      </c>
      <c r="B62" s="42"/>
      <c r="C62" s="43"/>
      <c r="D62" s="43"/>
      <c r="E62" s="22"/>
      <c r="F62" s="143"/>
      <c r="G62" s="385"/>
      <c r="H62" s="397">
        <f t="shared" si="19"/>
        <v>0</v>
      </c>
      <c r="I62" s="401"/>
      <c r="J62" s="401"/>
      <c r="K62" s="401"/>
      <c r="L62" s="401"/>
      <c r="M62" s="401"/>
      <c r="N62" s="401"/>
      <c r="O62" s="401"/>
      <c r="P62" s="401"/>
      <c r="Q62" s="401"/>
      <c r="R62" s="427"/>
      <c r="S62" s="366">
        <f>SUM(G62:R62)</f>
        <v>0</v>
      </c>
    </row>
    <row r="63" spans="1:19">
      <c r="A63" s="197">
        <v>36</v>
      </c>
      <c r="B63" s="47" t="s">
        <v>268</v>
      </c>
      <c r="C63" s="6"/>
      <c r="D63" s="6"/>
      <c r="E63" s="49"/>
      <c r="F63" s="144"/>
      <c r="G63" s="384">
        <f t="shared" ref="G63:S63" si="21">SUM(G41:G62)</f>
        <v>0</v>
      </c>
      <c r="H63" s="408">
        <f t="shared" si="21"/>
        <v>75000</v>
      </c>
      <c r="I63" s="408">
        <f t="shared" si="21"/>
        <v>54967.179063360891</v>
      </c>
      <c r="J63" s="408">
        <f t="shared" si="21"/>
        <v>54967.179063360891</v>
      </c>
      <c r="K63" s="408">
        <f t="shared" si="21"/>
        <v>54967.179063360891</v>
      </c>
      <c r="L63" s="408">
        <f t="shared" si="21"/>
        <v>54967.179063360891</v>
      </c>
      <c r="M63" s="408">
        <f t="shared" si="21"/>
        <v>54967.179063360891</v>
      </c>
      <c r="N63" s="408">
        <f t="shared" si="21"/>
        <v>54967.179063360891</v>
      </c>
      <c r="O63" s="408">
        <f t="shared" si="21"/>
        <v>54967.179063360891</v>
      </c>
      <c r="P63" s="408">
        <f t="shared" si="21"/>
        <v>54967.179063360891</v>
      </c>
      <c r="Q63" s="408">
        <f t="shared" si="21"/>
        <v>54967.179063360891</v>
      </c>
      <c r="R63" s="428">
        <f t="shared" si="21"/>
        <v>54967.179063360891</v>
      </c>
      <c r="S63" s="428">
        <f t="shared" si="21"/>
        <v>624671.7906336087</v>
      </c>
    </row>
    <row r="64" spans="1:19">
      <c r="A64" s="192"/>
      <c r="B64" s="36"/>
      <c r="C64" s="9"/>
      <c r="D64" s="9"/>
      <c r="E64" s="61"/>
      <c r="F64" s="139"/>
      <c r="G64" s="383"/>
      <c r="H64" s="400"/>
      <c r="I64" s="400"/>
      <c r="J64" s="400"/>
      <c r="K64" s="400"/>
      <c r="L64" s="400"/>
      <c r="M64" s="400"/>
      <c r="N64" s="400"/>
      <c r="O64" s="400"/>
      <c r="P64" s="400"/>
      <c r="Q64" s="400"/>
      <c r="R64" s="425"/>
      <c r="S64" s="425"/>
    </row>
    <row r="65" spans="1:20" s="13" customFormat="1">
      <c r="A65" s="199"/>
      <c r="B65" s="25" t="s">
        <v>284</v>
      </c>
      <c r="C65" s="11"/>
      <c r="D65" s="11"/>
      <c r="E65" s="61"/>
      <c r="F65" s="139"/>
      <c r="G65" s="383"/>
      <c r="H65" s="400"/>
      <c r="I65" s="400"/>
      <c r="J65" s="400"/>
      <c r="K65" s="400"/>
      <c r="L65" s="400"/>
      <c r="M65" s="400"/>
      <c r="N65" s="400"/>
      <c r="O65" s="400"/>
      <c r="P65" s="400"/>
      <c r="Q65" s="400"/>
      <c r="R65" s="425"/>
      <c r="S65" s="425"/>
    </row>
    <row r="66" spans="1:20" s="99" customFormat="1">
      <c r="A66" s="200">
        <v>37</v>
      </c>
      <c r="B66" s="95"/>
      <c r="C66" s="96"/>
      <c r="D66" s="96"/>
      <c r="E66" s="97"/>
      <c r="F66" s="145" t="s">
        <v>252</v>
      </c>
      <c r="G66" s="391"/>
      <c r="H66" s="397">
        <f t="shared" ref="H66" si="22">G66</f>
        <v>0</v>
      </c>
      <c r="I66" s="403"/>
      <c r="J66" s="403"/>
      <c r="K66" s="403"/>
      <c r="L66" s="403"/>
      <c r="M66" s="403"/>
      <c r="N66" s="403"/>
      <c r="O66" s="403"/>
      <c r="P66" s="403"/>
      <c r="Q66" s="403"/>
      <c r="R66" s="429"/>
      <c r="S66" s="366">
        <f>SUM(G66:R66)</f>
        <v>0</v>
      </c>
    </row>
    <row r="67" spans="1:20" ht="15" thickBot="1">
      <c r="A67" s="194">
        <v>38</v>
      </c>
      <c r="B67" s="42"/>
      <c r="C67" s="43"/>
      <c r="D67" s="43"/>
      <c r="E67" s="133"/>
      <c r="F67" s="146"/>
      <c r="G67" s="447"/>
      <c r="H67" s="404"/>
      <c r="I67" s="404"/>
      <c r="J67" s="404"/>
      <c r="K67" s="404"/>
      <c r="L67" s="404"/>
      <c r="M67" s="404"/>
      <c r="N67" s="404"/>
      <c r="O67" s="404"/>
      <c r="P67" s="404"/>
      <c r="Q67" s="404"/>
      <c r="R67" s="430"/>
      <c r="S67" s="366">
        <f>SUM(G67:R67)</f>
        <v>0</v>
      </c>
    </row>
    <row r="68" spans="1:20" ht="15" thickBot="1">
      <c r="A68" s="201">
        <v>39</v>
      </c>
      <c r="B68" s="44" t="s">
        <v>271</v>
      </c>
      <c r="C68" s="7"/>
      <c r="D68" s="7"/>
      <c r="E68" s="45"/>
      <c r="F68" s="147"/>
      <c r="G68" s="387" t="e">
        <f t="shared" ref="G68:S68" si="23">G19+G31+G63+G66+G67</f>
        <v>#REF!</v>
      </c>
      <c r="H68" s="410" t="e">
        <f t="shared" si="23"/>
        <v>#REF!</v>
      </c>
      <c r="I68" s="410" t="e">
        <f t="shared" si="23"/>
        <v>#REF!</v>
      </c>
      <c r="J68" s="410" t="e">
        <f t="shared" si="23"/>
        <v>#REF!</v>
      </c>
      <c r="K68" s="443" t="e">
        <f t="shared" si="23"/>
        <v>#REF!</v>
      </c>
      <c r="L68" s="443" t="e">
        <f t="shared" si="23"/>
        <v>#REF!</v>
      </c>
      <c r="M68" s="443" t="e">
        <f t="shared" si="23"/>
        <v>#REF!</v>
      </c>
      <c r="N68" s="443" t="e">
        <f t="shared" si="23"/>
        <v>#REF!</v>
      </c>
      <c r="O68" s="443" t="e">
        <f t="shared" si="23"/>
        <v>#REF!</v>
      </c>
      <c r="P68" s="443" t="e">
        <f t="shared" si="23"/>
        <v>#REF!</v>
      </c>
      <c r="Q68" s="443" t="e">
        <f t="shared" si="23"/>
        <v>#REF!</v>
      </c>
      <c r="R68" s="444" t="e">
        <f t="shared" si="23"/>
        <v>#REF!</v>
      </c>
      <c r="S68" s="444" t="e">
        <f t="shared" si="23"/>
        <v>#REF!</v>
      </c>
      <c r="T68" s="2" t="e">
        <f>'Yr 1 Operating Statement of Act'!G70='Year 1 Cash Flow Projection'!S68</f>
        <v>#REF!</v>
      </c>
    </row>
    <row r="69" spans="1:20">
      <c r="A69" s="202"/>
      <c r="D69" s="159"/>
      <c r="E69" s="160"/>
      <c r="F69" s="160"/>
      <c r="G69" s="448"/>
      <c r="H69" s="448"/>
      <c r="I69" s="448"/>
      <c r="J69" s="449"/>
      <c r="K69" s="448"/>
      <c r="L69" s="448"/>
      <c r="M69" s="448"/>
      <c r="N69" s="448"/>
      <c r="O69" s="448"/>
      <c r="P69" s="448"/>
      <c r="Q69" s="448"/>
      <c r="R69" s="448"/>
      <c r="S69" s="448"/>
    </row>
    <row r="70" spans="1:20">
      <c r="A70" s="202"/>
      <c r="D70" s="13"/>
      <c r="E70" s="161"/>
      <c r="F70" s="161"/>
      <c r="G70" s="449"/>
      <c r="H70" s="449"/>
      <c r="I70" s="449"/>
      <c r="J70" s="449"/>
      <c r="K70" s="449"/>
      <c r="L70" s="449"/>
      <c r="M70" s="449"/>
      <c r="N70" s="449"/>
      <c r="O70" s="449"/>
      <c r="P70" s="449"/>
      <c r="Q70" s="449"/>
      <c r="R70" s="449"/>
      <c r="S70" s="449"/>
    </row>
    <row r="71" spans="1:20">
      <c r="A71" s="202"/>
      <c r="D71" s="13"/>
      <c r="E71" s="161"/>
      <c r="F71" s="161"/>
      <c r="G71" s="449"/>
      <c r="H71" s="449"/>
      <c r="I71" s="449"/>
      <c r="J71" s="449"/>
      <c r="K71" s="449"/>
      <c r="L71" s="449"/>
      <c r="M71" s="449"/>
      <c r="N71" s="449"/>
      <c r="O71" s="449"/>
      <c r="P71" s="449"/>
      <c r="Q71" s="449"/>
      <c r="R71" s="449"/>
      <c r="S71" s="449"/>
    </row>
    <row r="72" spans="1:20" s="13" customFormat="1" ht="20.25" customHeight="1">
      <c r="A72" s="203"/>
      <c r="B72" s="20" t="s">
        <v>273</v>
      </c>
      <c r="E72" s="14"/>
      <c r="F72" s="148"/>
      <c r="G72" s="380"/>
      <c r="H72" s="405"/>
      <c r="I72" s="405"/>
      <c r="J72" s="405"/>
      <c r="K72" s="405"/>
      <c r="L72" s="405"/>
      <c r="M72" s="405"/>
      <c r="N72" s="405"/>
      <c r="O72" s="405"/>
      <c r="P72" s="405"/>
      <c r="Q72" s="405"/>
      <c r="R72" s="432"/>
      <c r="S72" s="432"/>
    </row>
    <row r="73" spans="1:20">
      <c r="A73" s="203"/>
      <c r="E73" s="14" t="s">
        <v>33</v>
      </c>
      <c r="F73" s="148"/>
      <c r="G73" s="380"/>
      <c r="H73" s="405"/>
      <c r="I73" s="405"/>
      <c r="J73" s="405"/>
      <c r="K73" s="405"/>
      <c r="L73" s="405"/>
      <c r="M73" s="405"/>
      <c r="N73" s="405"/>
      <c r="O73" s="405"/>
      <c r="P73" s="405"/>
      <c r="Q73" s="405"/>
      <c r="R73" s="432"/>
      <c r="S73" s="432"/>
    </row>
    <row r="74" spans="1:20" s="4" customFormat="1">
      <c r="A74" s="204"/>
      <c r="B74" s="54" t="s">
        <v>16</v>
      </c>
      <c r="C74" s="55"/>
      <c r="D74" s="55"/>
      <c r="E74" s="63" t="s">
        <v>33</v>
      </c>
      <c r="F74" s="149"/>
      <c r="G74" s="381"/>
      <c r="H74" s="406"/>
      <c r="I74" s="406"/>
      <c r="J74" s="406"/>
      <c r="K74" s="406"/>
      <c r="L74" s="406"/>
      <c r="M74" s="406"/>
      <c r="N74" s="406"/>
      <c r="O74" s="406"/>
      <c r="P74" s="406"/>
      <c r="Q74" s="406"/>
      <c r="R74" s="433"/>
      <c r="S74" s="433"/>
    </row>
    <row r="75" spans="1:20" s="4" customFormat="1">
      <c r="A75" s="205"/>
      <c r="B75" s="89" t="s">
        <v>274</v>
      </c>
      <c r="C75" s="56"/>
      <c r="D75" s="56"/>
      <c r="E75" s="65"/>
      <c r="F75" s="150"/>
      <c r="G75" s="382"/>
      <c r="H75" s="407"/>
      <c r="I75" s="407"/>
      <c r="J75" s="407"/>
      <c r="K75" s="407"/>
      <c r="L75" s="407"/>
      <c r="M75" s="407"/>
      <c r="N75" s="407"/>
      <c r="O75" s="407"/>
      <c r="P75" s="407"/>
      <c r="Q75" s="407"/>
      <c r="R75" s="434"/>
      <c r="S75" s="434"/>
    </row>
    <row r="76" spans="1:20">
      <c r="A76" s="206"/>
      <c r="B76" s="36"/>
      <c r="C76" s="9" t="s">
        <v>76</v>
      </c>
      <c r="D76" s="9"/>
      <c r="E76" s="61"/>
      <c r="F76" s="139"/>
      <c r="G76" s="383"/>
      <c r="H76" s="400"/>
      <c r="I76" s="400"/>
      <c r="J76" s="400"/>
      <c r="K76" s="400"/>
      <c r="L76" s="400"/>
      <c r="M76" s="400"/>
      <c r="N76" s="400"/>
      <c r="O76" s="400"/>
      <c r="P76" s="400"/>
      <c r="Q76" s="400"/>
      <c r="R76" s="425"/>
      <c r="S76" s="425"/>
    </row>
    <row r="77" spans="1:20">
      <c r="A77" s="206">
        <v>40</v>
      </c>
      <c r="B77" s="36"/>
      <c r="C77" s="9"/>
      <c r="D77" s="9" t="s">
        <v>117</v>
      </c>
      <c r="E77" s="18">
        <v>112</v>
      </c>
      <c r="F77" s="140">
        <v>1100</v>
      </c>
      <c r="G77" s="365">
        <f>('Yr 1 Operating Statement of Act'!$G$79/12)*0.5</f>
        <v>33164.666666666664</v>
      </c>
      <c r="H77" s="365">
        <f>('Yr 1 Operating Statement of Act'!$G79/12)</f>
        <v>66329.333333333328</v>
      </c>
      <c r="I77" s="397">
        <f t="shared" ref="I77:J82" si="24">H77</f>
        <v>66329.333333333328</v>
      </c>
      <c r="J77" s="397">
        <f t="shared" si="24"/>
        <v>66329.333333333328</v>
      </c>
      <c r="K77" s="397">
        <f t="shared" ref="K77:R77" si="25">J77</f>
        <v>66329.333333333328</v>
      </c>
      <c r="L77" s="397">
        <f t="shared" si="25"/>
        <v>66329.333333333328</v>
      </c>
      <c r="M77" s="397">
        <f t="shared" si="25"/>
        <v>66329.333333333328</v>
      </c>
      <c r="N77" s="397">
        <f t="shared" si="25"/>
        <v>66329.333333333328</v>
      </c>
      <c r="O77" s="397">
        <f t="shared" si="25"/>
        <v>66329.333333333328</v>
      </c>
      <c r="P77" s="397">
        <f t="shared" si="25"/>
        <v>66329.333333333328</v>
      </c>
      <c r="Q77" s="397">
        <f t="shared" si="25"/>
        <v>66329.333333333328</v>
      </c>
      <c r="R77" s="397">
        <f t="shared" si="25"/>
        <v>66329.333333333328</v>
      </c>
      <c r="S77" s="366">
        <f t="shared" ref="S77:S82" si="26">SUM(G77:R77)</f>
        <v>762787.33333333337</v>
      </c>
    </row>
    <row r="78" spans="1:20">
      <c r="A78" s="206">
        <v>41</v>
      </c>
      <c r="B78" s="36"/>
      <c r="C78" s="9"/>
      <c r="D78" s="9" t="s">
        <v>78</v>
      </c>
      <c r="E78" s="18" t="s">
        <v>79</v>
      </c>
      <c r="F78" s="140" t="s">
        <v>80</v>
      </c>
      <c r="G78" s="365">
        <f>('Yr 1 Operating Statement of Act'!G80/12)*0.5</f>
        <v>0</v>
      </c>
      <c r="H78" s="365">
        <f>('Yr 1 Operating Statement of Act'!$G80/12)</f>
        <v>0</v>
      </c>
      <c r="I78" s="397">
        <f t="shared" si="24"/>
        <v>0</v>
      </c>
      <c r="J78" s="397">
        <f t="shared" si="24"/>
        <v>0</v>
      </c>
      <c r="K78" s="397">
        <f t="shared" ref="K78:R78" si="27">J78</f>
        <v>0</v>
      </c>
      <c r="L78" s="397">
        <f t="shared" si="27"/>
        <v>0</v>
      </c>
      <c r="M78" s="397">
        <f t="shared" si="27"/>
        <v>0</v>
      </c>
      <c r="N78" s="397">
        <f t="shared" si="27"/>
        <v>0</v>
      </c>
      <c r="O78" s="397">
        <f t="shared" si="27"/>
        <v>0</v>
      </c>
      <c r="P78" s="397">
        <f t="shared" si="27"/>
        <v>0</v>
      </c>
      <c r="Q78" s="397">
        <f t="shared" si="27"/>
        <v>0</v>
      </c>
      <c r="R78" s="397">
        <f t="shared" si="27"/>
        <v>0</v>
      </c>
      <c r="S78" s="366">
        <f t="shared" si="26"/>
        <v>0</v>
      </c>
    </row>
    <row r="79" spans="1:20">
      <c r="A79" s="206">
        <v>42</v>
      </c>
      <c r="B79" s="36"/>
      <c r="C79" s="9"/>
      <c r="D79" s="9" t="s">
        <v>81</v>
      </c>
      <c r="E79" s="18" t="s">
        <v>82</v>
      </c>
      <c r="F79" s="140" t="s">
        <v>80</v>
      </c>
      <c r="G79" s="365">
        <f>'Yr 1 Operating Statement of Act'!G81/12</f>
        <v>1250</v>
      </c>
      <c r="H79" s="365">
        <f>('Yr 1 Operating Statement of Act'!$G81/12)</f>
        <v>1250</v>
      </c>
      <c r="I79" s="397">
        <f t="shared" si="24"/>
        <v>1250</v>
      </c>
      <c r="J79" s="397">
        <f t="shared" si="24"/>
        <v>1250</v>
      </c>
      <c r="K79" s="397">
        <f t="shared" ref="K79:R79" si="28">J79</f>
        <v>1250</v>
      </c>
      <c r="L79" s="397">
        <f t="shared" si="28"/>
        <v>1250</v>
      </c>
      <c r="M79" s="397">
        <f t="shared" si="28"/>
        <v>1250</v>
      </c>
      <c r="N79" s="397">
        <f t="shared" si="28"/>
        <v>1250</v>
      </c>
      <c r="O79" s="397">
        <f t="shared" si="28"/>
        <v>1250</v>
      </c>
      <c r="P79" s="397">
        <f t="shared" si="28"/>
        <v>1250</v>
      </c>
      <c r="Q79" s="397">
        <f t="shared" si="28"/>
        <v>1250</v>
      </c>
      <c r="R79" s="397">
        <f t="shared" si="28"/>
        <v>1250</v>
      </c>
      <c r="S79" s="366">
        <f t="shared" si="26"/>
        <v>15000</v>
      </c>
    </row>
    <row r="80" spans="1:20">
      <c r="A80" s="206">
        <v>43</v>
      </c>
      <c r="B80" s="36"/>
      <c r="C80" s="9" t="s">
        <v>83</v>
      </c>
      <c r="D80" s="9"/>
      <c r="E80" s="18" t="s">
        <v>84</v>
      </c>
      <c r="F80" s="140" t="s">
        <v>80</v>
      </c>
      <c r="G80" s="365">
        <f>'Yr 1 Operating Statement of Act'!G82/12</f>
        <v>2916.6666666666665</v>
      </c>
      <c r="H80" s="365">
        <f>('Yr 1 Operating Statement of Act'!$G82/12)</f>
        <v>2916.6666666666665</v>
      </c>
      <c r="I80" s="397">
        <f t="shared" si="24"/>
        <v>2916.6666666666665</v>
      </c>
      <c r="J80" s="397">
        <f t="shared" si="24"/>
        <v>2916.6666666666665</v>
      </c>
      <c r="K80" s="397">
        <f t="shared" ref="K80:R80" si="29">J80</f>
        <v>2916.6666666666665</v>
      </c>
      <c r="L80" s="397">
        <f t="shared" si="29"/>
        <v>2916.6666666666665</v>
      </c>
      <c r="M80" s="397">
        <f t="shared" si="29"/>
        <v>2916.6666666666665</v>
      </c>
      <c r="N80" s="397">
        <f t="shared" si="29"/>
        <v>2916.6666666666665</v>
      </c>
      <c r="O80" s="397">
        <f t="shared" si="29"/>
        <v>2916.6666666666665</v>
      </c>
      <c r="P80" s="397">
        <f t="shared" si="29"/>
        <v>2916.6666666666665</v>
      </c>
      <c r="Q80" s="397">
        <f t="shared" si="29"/>
        <v>2916.6666666666665</v>
      </c>
      <c r="R80" s="397">
        <f t="shared" si="29"/>
        <v>2916.6666666666665</v>
      </c>
      <c r="S80" s="366">
        <f t="shared" si="26"/>
        <v>35000.000000000007</v>
      </c>
    </row>
    <row r="81" spans="1:19">
      <c r="A81" s="206">
        <v>44</v>
      </c>
      <c r="B81" s="36"/>
      <c r="C81" s="9" t="s">
        <v>85</v>
      </c>
      <c r="D81" s="9"/>
      <c r="E81" s="18" t="s">
        <v>86</v>
      </c>
      <c r="F81" s="140" t="s">
        <v>80</v>
      </c>
      <c r="G81" s="365">
        <f>'Yr 1 Operating Statement of Act'!G83/12</f>
        <v>0</v>
      </c>
      <c r="H81" s="365">
        <f>('Yr 1 Operating Statement of Act'!$G83/12)</f>
        <v>0</v>
      </c>
      <c r="I81" s="397">
        <f t="shared" si="24"/>
        <v>0</v>
      </c>
      <c r="J81" s="397">
        <f t="shared" si="24"/>
        <v>0</v>
      </c>
      <c r="K81" s="397">
        <f t="shared" ref="K81:R81" si="30">J81</f>
        <v>0</v>
      </c>
      <c r="L81" s="397">
        <f t="shared" si="30"/>
        <v>0</v>
      </c>
      <c r="M81" s="397">
        <f t="shared" si="30"/>
        <v>0</v>
      </c>
      <c r="N81" s="397">
        <f t="shared" si="30"/>
        <v>0</v>
      </c>
      <c r="O81" s="397">
        <f t="shared" si="30"/>
        <v>0</v>
      </c>
      <c r="P81" s="397">
        <f t="shared" si="30"/>
        <v>0</v>
      </c>
      <c r="Q81" s="397">
        <f t="shared" si="30"/>
        <v>0</v>
      </c>
      <c r="R81" s="397">
        <f t="shared" si="30"/>
        <v>0</v>
      </c>
      <c r="S81" s="366">
        <f t="shared" si="26"/>
        <v>0</v>
      </c>
    </row>
    <row r="82" spans="1:19">
      <c r="A82" s="206">
        <v>45</v>
      </c>
      <c r="B82" s="36"/>
      <c r="C82" s="9" t="s">
        <v>87</v>
      </c>
      <c r="D82" s="9"/>
      <c r="E82" s="18" t="s">
        <v>88</v>
      </c>
      <c r="F82" s="140" t="s">
        <v>80</v>
      </c>
      <c r="G82" s="365">
        <f>'Yr 1 Operating Statement of Act'!G84/12</f>
        <v>208.33333333333334</v>
      </c>
      <c r="H82" s="365">
        <f>('Yr 1 Operating Statement of Act'!$G84/12)</f>
        <v>208.33333333333334</v>
      </c>
      <c r="I82" s="397">
        <f t="shared" si="24"/>
        <v>208.33333333333334</v>
      </c>
      <c r="J82" s="397">
        <f t="shared" si="24"/>
        <v>208.33333333333334</v>
      </c>
      <c r="K82" s="397">
        <f t="shared" ref="K82:R82" si="31">J82</f>
        <v>208.33333333333334</v>
      </c>
      <c r="L82" s="397">
        <f t="shared" si="31"/>
        <v>208.33333333333334</v>
      </c>
      <c r="M82" s="397">
        <f t="shared" si="31"/>
        <v>208.33333333333334</v>
      </c>
      <c r="N82" s="397">
        <f t="shared" si="31"/>
        <v>208.33333333333334</v>
      </c>
      <c r="O82" s="397">
        <f t="shared" si="31"/>
        <v>208.33333333333334</v>
      </c>
      <c r="P82" s="397">
        <f t="shared" si="31"/>
        <v>208.33333333333334</v>
      </c>
      <c r="Q82" s="397">
        <f t="shared" si="31"/>
        <v>208.33333333333334</v>
      </c>
      <c r="R82" s="397">
        <f t="shared" si="31"/>
        <v>208.33333333333334</v>
      </c>
      <c r="S82" s="366">
        <f t="shared" si="26"/>
        <v>2500</v>
      </c>
    </row>
    <row r="83" spans="1:19">
      <c r="A83" s="206"/>
      <c r="B83" s="36"/>
      <c r="C83" s="9" t="s">
        <v>89</v>
      </c>
      <c r="D83" s="9"/>
      <c r="E83" s="61"/>
      <c r="F83" s="139"/>
      <c r="G83" s="383"/>
      <c r="H83" s="400"/>
      <c r="I83" s="400"/>
      <c r="J83" s="400"/>
      <c r="K83" s="400"/>
      <c r="L83" s="400"/>
      <c r="M83" s="400"/>
      <c r="N83" s="400"/>
      <c r="O83" s="400"/>
      <c r="P83" s="400"/>
      <c r="Q83" s="400"/>
      <c r="R83" s="400"/>
      <c r="S83" s="425"/>
    </row>
    <row r="84" spans="1:19">
      <c r="A84" s="206">
        <v>46</v>
      </c>
      <c r="B84" s="36"/>
      <c r="C84" s="9"/>
      <c r="D84" s="9" t="s">
        <v>6</v>
      </c>
      <c r="E84" s="18" t="s">
        <v>90</v>
      </c>
      <c r="F84" s="140" t="s">
        <v>80</v>
      </c>
      <c r="G84" s="365">
        <f>'Yr 1 Operating Statement of Act'!G86/12</f>
        <v>875</v>
      </c>
      <c r="H84" s="397">
        <f t="shared" ref="H84:I93" si="32">G84</f>
        <v>875</v>
      </c>
      <c r="I84" s="397">
        <f t="shared" si="32"/>
        <v>875</v>
      </c>
      <c r="J84" s="397">
        <f t="shared" ref="J84:R84" si="33">I84</f>
        <v>875</v>
      </c>
      <c r="K84" s="397">
        <f t="shared" si="33"/>
        <v>875</v>
      </c>
      <c r="L84" s="397">
        <f t="shared" si="33"/>
        <v>875</v>
      </c>
      <c r="M84" s="397">
        <f t="shared" si="33"/>
        <v>875</v>
      </c>
      <c r="N84" s="397">
        <f t="shared" si="33"/>
        <v>875</v>
      </c>
      <c r="O84" s="397">
        <f t="shared" si="33"/>
        <v>875</v>
      </c>
      <c r="P84" s="397">
        <f t="shared" si="33"/>
        <v>875</v>
      </c>
      <c r="Q84" s="397">
        <f t="shared" si="33"/>
        <v>875</v>
      </c>
      <c r="R84" s="397">
        <f t="shared" si="33"/>
        <v>875</v>
      </c>
      <c r="S84" s="366">
        <f t="shared" ref="S84:S97" si="34">SUM(G84:R84)</f>
        <v>10500</v>
      </c>
    </row>
    <row r="85" spans="1:19">
      <c r="A85" s="206">
        <v>47</v>
      </c>
      <c r="B85" s="36"/>
      <c r="C85" s="9"/>
      <c r="D85" s="9" t="s">
        <v>91</v>
      </c>
      <c r="E85" s="18" t="s">
        <v>92</v>
      </c>
      <c r="F85" s="140" t="s">
        <v>80</v>
      </c>
      <c r="G85" s="365">
        <f>'Yr 1 Operating Statement of Act'!G87/12</f>
        <v>4875</v>
      </c>
      <c r="H85" s="397">
        <f t="shared" si="32"/>
        <v>4875</v>
      </c>
      <c r="I85" s="397">
        <f t="shared" si="32"/>
        <v>4875</v>
      </c>
      <c r="J85" s="397">
        <f t="shared" ref="J85:R85" si="35">I85</f>
        <v>4875</v>
      </c>
      <c r="K85" s="397">
        <f t="shared" si="35"/>
        <v>4875</v>
      </c>
      <c r="L85" s="397">
        <f t="shared" si="35"/>
        <v>4875</v>
      </c>
      <c r="M85" s="397">
        <f t="shared" si="35"/>
        <v>4875</v>
      </c>
      <c r="N85" s="397">
        <f t="shared" si="35"/>
        <v>4875</v>
      </c>
      <c r="O85" s="397">
        <f t="shared" si="35"/>
        <v>4875</v>
      </c>
      <c r="P85" s="397">
        <f t="shared" si="35"/>
        <v>4875</v>
      </c>
      <c r="Q85" s="397">
        <f t="shared" si="35"/>
        <v>4875</v>
      </c>
      <c r="R85" s="397">
        <f t="shared" si="35"/>
        <v>4875</v>
      </c>
      <c r="S85" s="366">
        <f t="shared" si="34"/>
        <v>58500</v>
      </c>
    </row>
    <row r="86" spans="1:19">
      <c r="A86" s="206">
        <v>48</v>
      </c>
      <c r="B86" s="36"/>
      <c r="C86" s="9" t="s">
        <v>93</v>
      </c>
      <c r="D86" s="9"/>
      <c r="E86" s="18" t="s">
        <v>94</v>
      </c>
      <c r="F86" s="140" t="s">
        <v>80</v>
      </c>
      <c r="G86" s="365">
        <f>'Yr 1 Operating Statement of Act'!G88/12</f>
        <v>1250</v>
      </c>
      <c r="H86" s="397">
        <f t="shared" si="32"/>
        <v>1250</v>
      </c>
      <c r="I86" s="397">
        <f t="shared" si="32"/>
        <v>1250</v>
      </c>
      <c r="J86" s="397">
        <f t="shared" ref="J86:R86" si="36">I86</f>
        <v>1250</v>
      </c>
      <c r="K86" s="397">
        <f t="shared" si="36"/>
        <v>1250</v>
      </c>
      <c r="L86" s="397">
        <f t="shared" si="36"/>
        <v>1250</v>
      </c>
      <c r="M86" s="397">
        <f t="shared" si="36"/>
        <v>1250</v>
      </c>
      <c r="N86" s="397">
        <f t="shared" si="36"/>
        <v>1250</v>
      </c>
      <c r="O86" s="397">
        <f t="shared" si="36"/>
        <v>1250</v>
      </c>
      <c r="P86" s="397">
        <f t="shared" si="36"/>
        <v>1250</v>
      </c>
      <c r="Q86" s="397">
        <f t="shared" si="36"/>
        <v>1250</v>
      </c>
      <c r="R86" s="397">
        <f t="shared" si="36"/>
        <v>1250</v>
      </c>
      <c r="S86" s="366">
        <f t="shared" si="34"/>
        <v>15000</v>
      </c>
    </row>
    <row r="87" spans="1:19">
      <c r="A87" s="206">
        <v>49</v>
      </c>
      <c r="B87" s="36"/>
      <c r="C87" s="9" t="s">
        <v>95</v>
      </c>
      <c r="D87" s="9"/>
      <c r="E87" s="18" t="s">
        <v>96</v>
      </c>
      <c r="F87" s="140" t="s">
        <v>80</v>
      </c>
      <c r="G87" s="365">
        <f>'Yr 1 Operating Statement of Act'!G89/12</f>
        <v>1925</v>
      </c>
      <c r="H87" s="397">
        <f t="shared" si="32"/>
        <v>1925</v>
      </c>
      <c r="I87" s="397">
        <f t="shared" si="32"/>
        <v>1925</v>
      </c>
      <c r="J87" s="397">
        <f t="shared" ref="J87:R87" si="37">I87</f>
        <v>1925</v>
      </c>
      <c r="K87" s="397">
        <f t="shared" si="37"/>
        <v>1925</v>
      </c>
      <c r="L87" s="397">
        <f t="shared" si="37"/>
        <v>1925</v>
      </c>
      <c r="M87" s="397">
        <f t="shared" si="37"/>
        <v>1925</v>
      </c>
      <c r="N87" s="397">
        <f t="shared" si="37"/>
        <v>1925</v>
      </c>
      <c r="O87" s="397">
        <f t="shared" si="37"/>
        <v>1925</v>
      </c>
      <c r="P87" s="397">
        <f t="shared" si="37"/>
        <v>1925</v>
      </c>
      <c r="Q87" s="397">
        <f t="shared" si="37"/>
        <v>1925</v>
      </c>
      <c r="R87" s="397">
        <f t="shared" si="37"/>
        <v>1925</v>
      </c>
      <c r="S87" s="366">
        <f t="shared" si="34"/>
        <v>23100</v>
      </c>
    </row>
    <row r="88" spans="1:19">
      <c r="A88" s="206">
        <v>50</v>
      </c>
      <c r="B88" s="36"/>
      <c r="C88" s="9" t="s">
        <v>295</v>
      </c>
      <c r="D88" s="9"/>
      <c r="E88" s="18" t="s">
        <v>97</v>
      </c>
      <c r="F88" s="140" t="s">
        <v>80</v>
      </c>
      <c r="G88" s="365">
        <f>'Yr 1 Operating Statement of Act'!G90/12*0</f>
        <v>0</v>
      </c>
      <c r="H88" s="397">
        <v>15536</v>
      </c>
      <c r="I88" s="397">
        <f t="shared" si="32"/>
        <v>15536</v>
      </c>
      <c r="J88" s="397">
        <f t="shared" ref="J88:R88" si="38">I88</f>
        <v>15536</v>
      </c>
      <c r="K88" s="397">
        <f t="shared" si="38"/>
        <v>15536</v>
      </c>
      <c r="L88" s="397">
        <f t="shared" si="38"/>
        <v>15536</v>
      </c>
      <c r="M88" s="397">
        <f t="shared" si="38"/>
        <v>15536</v>
      </c>
      <c r="N88" s="397">
        <f t="shared" si="38"/>
        <v>15536</v>
      </c>
      <c r="O88" s="397">
        <f t="shared" si="38"/>
        <v>15536</v>
      </c>
      <c r="P88" s="397">
        <f t="shared" si="38"/>
        <v>15536</v>
      </c>
      <c r="Q88" s="397">
        <f t="shared" si="38"/>
        <v>15536</v>
      </c>
      <c r="R88" s="397">
        <f t="shared" si="38"/>
        <v>15536</v>
      </c>
      <c r="S88" s="366">
        <f t="shared" si="34"/>
        <v>170896</v>
      </c>
    </row>
    <row r="89" spans="1:19">
      <c r="A89" s="206">
        <v>51</v>
      </c>
      <c r="B89" s="36"/>
      <c r="C89" s="9" t="s">
        <v>98</v>
      </c>
      <c r="D89" s="9"/>
      <c r="E89" s="18" t="s">
        <v>99</v>
      </c>
      <c r="F89" s="140" t="s">
        <v>80</v>
      </c>
      <c r="G89" s="365">
        <f>'Yr 1 Operating Statement of Act'!G91/12</f>
        <v>4189.9186666666665</v>
      </c>
      <c r="H89" s="397">
        <f t="shared" si="32"/>
        <v>4189.9186666666665</v>
      </c>
      <c r="I89" s="397">
        <f t="shared" si="32"/>
        <v>4189.9186666666665</v>
      </c>
      <c r="J89" s="397">
        <f t="shared" ref="J89:R89" si="39">I89</f>
        <v>4189.9186666666665</v>
      </c>
      <c r="K89" s="397">
        <f t="shared" si="39"/>
        <v>4189.9186666666665</v>
      </c>
      <c r="L89" s="397">
        <f t="shared" si="39"/>
        <v>4189.9186666666665</v>
      </c>
      <c r="M89" s="397">
        <f t="shared" si="39"/>
        <v>4189.9186666666665</v>
      </c>
      <c r="N89" s="397">
        <f t="shared" si="39"/>
        <v>4189.9186666666665</v>
      </c>
      <c r="O89" s="397">
        <f t="shared" si="39"/>
        <v>4189.9186666666665</v>
      </c>
      <c r="P89" s="397">
        <f t="shared" si="39"/>
        <v>4189.9186666666665</v>
      </c>
      <c r="Q89" s="397">
        <f t="shared" si="39"/>
        <v>4189.9186666666665</v>
      </c>
      <c r="R89" s="397">
        <f t="shared" si="39"/>
        <v>4189.9186666666665</v>
      </c>
      <c r="S89" s="366">
        <f t="shared" si="34"/>
        <v>50279.023999999983</v>
      </c>
    </row>
    <row r="90" spans="1:19">
      <c r="A90" s="206">
        <v>52</v>
      </c>
      <c r="B90" s="36"/>
      <c r="C90" s="9" t="s">
        <v>100</v>
      </c>
      <c r="D90" s="9"/>
      <c r="E90" s="18" t="s">
        <v>101</v>
      </c>
      <c r="F90" s="140" t="s">
        <v>80</v>
      </c>
      <c r="G90" s="365">
        <f>'Yr 1 Operating Statement of Act'!G92/12</f>
        <v>979.90033333333338</v>
      </c>
      <c r="H90" s="397">
        <f t="shared" si="32"/>
        <v>979.90033333333338</v>
      </c>
      <c r="I90" s="397">
        <f t="shared" si="32"/>
        <v>979.90033333333338</v>
      </c>
      <c r="J90" s="397">
        <f t="shared" ref="J90:R90" si="40">I90</f>
        <v>979.90033333333338</v>
      </c>
      <c r="K90" s="397">
        <f t="shared" si="40"/>
        <v>979.90033333333338</v>
      </c>
      <c r="L90" s="397">
        <f t="shared" si="40"/>
        <v>979.90033333333338</v>
      </c>
      <c r="M90" s="397">
        <f t="shared" si="40"/>
        <v>979.90033333333338</v>
      </c>
      <c r="N90" s="397">
        <f t="shared" si="40"/>
        <v>979.90033333333338</v>
      </c>
      <c r="O90" s="397">
        <f t="shared" si="40"/>
        <v>979.90033333333338</v>
      </c>
      <c r="P90" s="397">
        <f t="shared" si="40"/>
        <v>979.90033333333338</v>
      </c>
      <c r="Q90" s="397">
        <f t="shared" si="40"/>
        <v>979.90033333333338</v>
      </c>
      <c r="R90" s="397">
        <f t="shared" si="40"/>
        <v>979.90033333333338</v>
      </c>
      <c r="S90" s="366">
        <f t="shared" si="34"/>
        <v>11758.803999999998</v>
      </c>
    </row>
    <row r="91" spans="1:19">
      <c r="A91" s="206">
        <v>53</v>
      </c>
      <c r="B91" s="36"/>
      <c r="C91" s="9" t="s">
        <v>219</v>
      </c>
      <c r="D91" s="9"/>
      <c r="E91" s="18" t="s">
        <v>220</v>
      </c>
      <c r="F91" s="140">
        <v>1100</v>
      </c>
      <c r="G91" s="365">
        <f>'Yr 1 Operating Statement of Act'!G93/12</f>
        <v>1351.5866666666668</v>
      </c>
      <c r="H91" s="397">
        <f t="shared" si="32"/>
        <v>1351.5866666666668</v>
      </c>
      <c r="I91" s="397">
        <f t="shared" si="32"/>
        <v>1351.5866666666668</v>
      </c>
      <c r="J91" s="397">
        <f t="shared" ref="J91:R91" si="41">I91</f>
        <v>1351.5866666666668</v>
      </c>
      <c r="K91" s="397">
        <f t="shared" si="41"/>
        <v>1351.5866666666668</v>
      </c>
      <c r="L91" s="397">
        <f t="shared" si="41"/>
        <v>1351.5866666666668</v>
      </c>
      <c r="M91" s="397">
        <f t="shared" si="41"/>
        <v>1351.5866666666668</v>
      </c>
      <c r="N91" s="397">
        <f t="shared" si="41"/>
        <v>1351.5866666666668</v>
      </c>
      <c r="O91" s="397">
        <f t="shared" si="41"/>
        <v>1351.5866666666668</v>
      </c>
      <c r="P91" s="397">
        <f t="shared" si="41"/>
        <v>1351.5866666666668</v>
      </c>
      <c r="Q91" s="397">
        <f t="shared" si="41"/>
        <v>1351.5866666666668</v>
      </c>
      <c r="R91" s="397">
        <f t="shared" si="41"/>
        <v>1351.5866666666668</v>
      </c>
      <c r="S91" s="366">
        <f t="shared" si="34"/>
        <v>16219.039999999999</v>
      </c>
    </row>
    <row r="92" spans="1:19">
      <c r="A92" s="206">
        <v>54</v>
      </c>
      <c r="B92" s="36"/>
      <c r="C92" s="9" t="s">
        <v>102</v>
      </c>
      <c r="D92" s="9"/>
      <c r="E92" s="18" t="s">
        <v>103</v>
      </c>
      <c r="F92" s="140" t="s">
        <v>80</v>
      </c>
      <c r="G92" s="365">
        <f>'Yr 1 Operating Statement of Act'!G94/12</f>
        <v>662.27746666666667</v>
      </c>
      <c r="H92" s="397">
        <f t="shared" si="32"/>
        <v>662.27746666666667</v>
      </c>
      <c r="I92" s="397">
        <f t="shared" si="32"/>
        <v>662.27746666666667</v>
      </c>
      <c r="J92" s="397">
        <f t="shared" ref="J92:R92" si="42">I92</f>
        <v>662.27746666666667</v>
      </c>
      <c r="K92" s="397">
        <f t="shared" si="42"/>
        <v>662.27746666666667</v>
      </c>
      <c r="L92" s="397">
        <f t="shared" si="42"/>
        <v>662.27746666666667</v>
      </c>
      <c r="M92" s="397">
        <f t="shared" si="42"/>
        <v>662.27746666666667</v>
      </c>
      <c r="N92" s="397">
        <f t="shared" si="42"/>
        <v>662.27746666666667</v>
      </c>
      <c r="O92" s="397">
        <f t="shared" si="42"/>
        <v>662.27746666666667</v>
      </c>
      <c r="P92" s="397">
        <f t="shared" si="42"/>
        <v>662.27746666666667</v>
      </c>
      <c r="Q92" s="397">
        <f t="shared" si="42"/>
        <v>662.27746666666667</v>
      </c>
      <c r="R92" s="397">
        <f t="shared" si="42"/>
        <v>662.27746666666667</v>
      </c>
      <c r="S92" s="366">
        <f t="shared" si="34"/>
        <v>7947.3295999999982</v>
      </c>
    </row>
    <row r="93" spans="1:19">
      <c r="A93" s="206">
        <v>55</v>
      </c>
      <c r="B93" s="36"/>
      <c r="C93" s="9" t="s">
        <v>104</v>
      </c>
      <c r="D93" s="9"/>
      <c r="E93" s="18" t="s">
        <v>105</v>
      </c>
      <c r="F93" s="140" t="s">
        <v>80</v>
      </c>
      <c r="G93" s="365">
        <f>'Yr 1 Operating Statement of Act'!G95/12</f>
        <v>506.84499999999997</v>
      </c>
      <c r="H93" s="397">
        <f t="shared" si="32"/>
        <v>506.84499999999997</v>
      </c>
      <c r="I93" s="397">
        <f t="shared" si="32"/>
        <v>506.84499999999997</v>
      </c>
      <c r="J93" s="397">
        <f t="shared" ref="J93:R93" si="43">I93</f>
        <v>506.84499999999997</v>
      </c>
      <c r="K93" s="397">
        <f t="shared" si="43"/>
        <v>506.84499999999997</v>
      </c>
      <c r="L93" s="397">
        <f t="shared" si="43"/>
        <v>506.84499999999997</v>
      </c>
      <c r="M93" s="397">
        <f t="shared" si="43"/>
        <v>506.84499999999997</v>
      </c>
      <c r="N93" s="397">
        <f t="shared" si="43"/>
        <v>506.84499999999997</v>
      </c>
      <c r="O93" s="397">
        <f t="shared" si="43"/>
        <v>506.84499999999997</v>
      </c>
      <c r="P93" s="397">
        <f t="shared" si="43"/>
        <v>506.84499999999997</v>
      </c>
      <c r="Q93" s="397">
        <f t="shared" si="43"/>
        <v>506.84499999999997</v>
      </c>
      <c r="R93" s="397">
        <f t="shared" si="43"/>
        <v>506.84499999999997</v>
      </c>
      <c r="S93" s="366">
        <f t="shared" si="34"/>
        <v>6082.14</v>
      </c>
    </row>
    <row r="94" spans="1:19">
      <c r="A94" s="206">
        <v>56</v>
      </c>
      <c r="B94" s="36"/>
      <c r="C94" s="85" t="s">
        <v>283</v>
      </c>
      <c r="D94" s="9"/>
      <c r="E94" s="18"/>
      <c r="F94" s="140"/>
      <c r="G94" s="365"/>
      <c r="H94" s="397"/>
      <c r="I94" s="397"/>
      <c r="J94" s="397"/>
      <c r="K94" s="397"/>
      <c r="L94" s="397"/>
      <c r="M94" s="397"/>
      <c r="N94" s="397"/>
      <c r="O94" s="397"/>
      <c r="P94" s="397"/>
      <c r="Q94" s="397"/>
      <c r="R94" s="397"/>
      <c r="S94" s="366">
        <f t="shared" si="34"/>
        <v>0</v>
      </c>
    </row>
    <row r="95" spans="1:19">
      <c r="A95" s="206">
        <v>57</v>
      </c>
      <c r="B95" s="36"/>
      <c r="C95" s="85"/>
      <c r="D95" s="9"/>
      <c r="E95" s="18"/>
      <c r="F95" s="140"/>
      <c r="G95" s="365"/>
      <c r="H95" s="397"/>
      <c r="I95" s="397"/>
      <c r="J95" s="397"/>
      <c r="K95" s="397"/>
      <c r="L95" s="397"/>
      <c r="M95" s="397"/>
      <c r="N95" s="397"/>
      <c r="O95" s="397"/>
      <c r="P95" s="397"/>
      <c r="Q95" s="397"/>
      <c r="R95" s="397"/>
      <c r="S95" s="366">
        <f t="shared" si="34"/>
        <v>0</v>
      </c>
    </row>
    <row r="96" spans="1:19">
      <c r="A96" s="206">
        <v>58</v>
      </c>
      <c r="B96" s="36"/>
      <c r="C96" s="85"/>
      <c r="D96" s="9"/>
      <c r="E96" s="18"/>
      <c r="F96" s="140"/>
      <c r="G96" s="365"/>
      <c r="H96" s="397"/>
      <c r="I96" s="397"/>
      <c r="J96" s="397"/>
      <c r="K96" s="397"/>
      <c r="L96" s="397"/>
      <c r="M96" s="397"/>
      <c r="N96" s="397"/>
      <c r="O96" s="397"/>
      <c r="P96" s="397"/>
      <c r="Q96" s="397"/>
      <c r="R96" s="397"/>
      <c r="S96" s="366">
        <f t="shared" si="34"/>
        <v>0</v>
      </c>
    </row>
    <row r="97" spans="1:19">
      <c r="A97" s="206">
        <v>59</v>
      </c>
      <c r="E97" s="14"/>
      <c r="F97" s="148"/>
      <c r="G97" s="380"/>
      <c r="H97" s="405"/>
      <c r="I97" s="405"/>
      <c r="J97" s="405"/>
      <c r="K97" s="405"/>
      <c r="L97" s="405"/>
      <c r="M97" s="405"/>
      <c r="N97" s="405"/>
      <c r="O97" s="405"/>
      <c r="P97" s="405"/>
      <c r="Q97" s="405"/>
      <c r="R97" s="405"/>
      <c r="S97" s="366">
        <f t="shared" si="34"/>
        <v>0</v>
      </c>
    </row>
    <row r="98" spans="1:19">
      <c r="A98" s="207">
        <v>60</v>
      </c>
      <c r="B98" s="87" t="s">
        <v>106</v>
      </c>
      <c r="C98" s="51"/>
      <c r="D98" s="51"/>
      <c r="E98" s="49"/>
      <c r="F98" s="144"/>
      <c r="G98" s="384">
        <f t="shared" ref="G98:S98" si="44">SUM(G77:G97)</f>
        <v>54155.194799999997</v>
      </c>
      <c r="H98" s="408">
        <f t="shared" si="44"/>
        <v>102855.86146666667</v>
      </c>
      <c r="I98" s="408">
        <f t="shared" si="44"/>
        <v>102855.86146666667</v>
      </c>
      <c r="J98" s="408">
        <f t="shared" ref="J98:R98" si="45">SUM(J77:J97)</f>
        <v>102855.86146666667</v>
      </c>
      <c r="K98" s="408">
        <f t="shared" si="45"/>
        <v>102855.86146666667</v>
      </c>
      <c r="L98" s="408">
        <f t="shared" si="45"/>
        <v>102855.86146666667</v>
      </c>
      <c r="M98" s="408">
        <f t="shared" si="45"/>
        <v>102855.86146666667</v>
      </c>
      <c r="N98" s="408">
        <f t="shared" si="45"/>
        <v>102855.86146666667</v>
      </c>
      <c r="O98" s="408">
        <f t="shared" si="45"/>
        <v>102855.86146666667</v>
      </c>
      <c r="P98" s="408">
        <f t="shared" si="45"/>
        <v>102855.86146666667</v>
      </c>
      <c r="Q98" s="408">
        <f t="shared" si="45"/>
        <v>102855.86146666667</v>
      </c>
      <c r="R98" s="408">
        <f t="shared" si="45"/>
        <v>102855.86146666667</v>
      </c>
      <c r="S98" s="428">
        <f t="shared" si="44"/>
        <v>1185569.6709333335</v>
      </c>
    </row>
    <row r="99" spans="1:19">
      <c r="A99" s="206"/>
      <c r="E99" s="14"/>
      <c r="F99" s="148"/>
      <c r="G99" s="380"/>
      <c r="H99" s="405"/>
      <c r="I99" s="405"/>
      <c r="J99" s="405"/>
      <c r="K99" s="405"/>
      <c r="L99" s="405"/>
      <c r="M99" s="405"/>
      <c r="N99" s="405"/>
      <c r="O99" s="405"/>
      <c r="P99" s="405"/>
      <c r="Q99" s="405"/>
      <c r="R99" s="405"/>
      <c r="S99" s="432"/>
    </row>
    <row r="100" spans="1:19" s="4" customFormat="1">
      <c r="A100" s="208"/>
      <c r="B100" s="90" t="s">
        <v>14</v>
      </c>
      <c r="C100" s="55"/>
      <c r="D100" s="59"/>
      <c r="E100" s="63"/>
      <c r="F100" s="149"/>
      <c r="G100" s="381"/>
      <c r="H100" s="406"/>
      <c r="I100" s="406"/>
      <c r="J100" s="406"/>
      <c r="K100" s="406"/>
      <c r="L100" s="406"/>
      <c r="M100" s="406"/>
      <c r="N100" s="406"/>
      <c r="O100" s="406"/>
      <c r="P100" s="406"/>
      <c r="Q100" s="406"/>
      <c r="R100" s="406"/>
      <c r="S100" s="433"/>
    </row>
    <row r="101" spans="1:19" s="4" customFormat="1">
      <c r="A101" s="209"/>
      <c r="B101" s="89" t="s">
        <v>15</v>
      </c>
      <c r="C101" s="56"/>
      <c r="D101" s="60"/>
      <c r="E101" s="65"/>
      <c r="F101" s="150"/>
      <c r="G101" s="382"/>
      <c r="H101" s="407"/>
      <c r="I101" s="407"/>
      <c r="J101" s="407"/>
      <c r="K101" s="407"/>
      <c r="L101" s="407"/>
      <c r="M101" s="407"/>
      <c r="N101" s="407"/>
      <c r="O101" s="407"/>
      <c r="P101" s="407"/>
      <c r="Q101" s="407"/>
      <c r="R101" s="407"/>
      <c r="S101" s="434"/>
    </row>
    <row r="102" spans="1:19">
      <c r="A102" s="206"/>
      <c r="B102" s="9"/>
      <c r="C102" s="9" t="s">
        <v>76</v>
      </c>
      <c r="E102" s="61"/>
      <c r="F102" s="139"/>
      <c r="G102" s="383"/>
      <c r="H102" s="400"/>
      <c r="I102" s="400"/>
      <c r="J102" s="400"/>
      <c r="K102" s="400"/>
      <c r="L102" s="400"/>
      <c r="M102" s="400"/>
      <c r="N102" s="400"/>
      <c r="O102" s="400"/>
      <c r="P102" s="400"/>
      <c r="Q102" s="400"/>
      <c r="R102" s="400"/>
      <c r="S102" s="425"/>
    </row>
    <row r="103" spans="1:19">
      <c r="A103" s="206">
        <v>61</v>
      </c>
      <c r="B103" s="36"/>
      <c r="C103" s="9"/>
      <c r="D103" s="9" t="s">
        <v>117</v>
      </c>
      <c r="E103" s="18" t="s">
        <v>77</v>
      </c>
      <c r="F103" s="140" t="s">
        <v>107</v>
      </c>
      <c r="G103" s="365">
        <f>('Yr 1 Operating Statement of Act'!$G105/12)*0.5</f>
        <v>7968</v>
      </c>
      <c r="H103" s="365">
        <f>('Yr 1 Operating Statement of Act'!$G105/12)</f>
        <v>15936</v>
      </c>
      <c r="I103" s="397">
        <f t="shared" ref="H103:I109" si="46">H103</f>
        <v>15936</v>
      </c>
      <c r="J103" s="397">
        <f t="shared" ref="J103:R103" si="47">I103</f>
        <v>15936</v>
      </c>
      <c r="K103" s="397">
        <f t="shared" si="47"/>
        <v>15936</v>
      </c>
      <c r="L103" s="397">
        <f t="shared" si="47"/>
        <v>15936</v>
      </c>
      <c r="M103" s="397">
        <f t="shared" si="47"/>
        <v>15936</v>
      </c>
      <c r="N103" s="397">
        <f t="shared" si="47"/>
        <v>15936</v>
      </c>
      <c r="O103" s="397">
        <f t="shared" si="47"/>
        <v>15936</v>
      </c>
      <c r="P103" s="397">
        <f t="shared" si="47"/>
        <v>15936</v>
      </c>
      <c r="Q103" s="397">
        <f t="shared" si="47"/>
        <v>15936</v>
      </c>
      <c r="R103" s="397">
        <f t="shared" si="47"/>
        <v>15936</v>
      </c>
      <c r="S103" s="366">
        <f t="shared" ref="S103:S109" si="48">SUM(G103:R103)</f>
        <v>183264</v>
      </c>
    </row>
    <row r="104" spans="1:19">
      <c r="A104" s="206">
        <v>62</v>
      </c>
      <c r="B104" s="36"/>
      <c r="C104" s="9"/>
      <c r="D104" s="9" t="s">
        <v>285</v>
      </c>
      <c r="E104" s="18" t="s">
        <v>108</v>
      </c>
      <c r="F104" s="140" t="s">
        <v>107</v>
      </c>
      <c r="G104" s="365">
        <f>'Yr 1 Operating Statement of Act'!G106/12</f>
        <v>4409.166666666667</v>
      </c>
      <c r="H104" s="397">
        <f t="shared" si="46"/>
        <v>4409.166666666667</v>
      </c>
      <c r="I104" s="397">
        <f t="shared" si="46"/>
        <v>4409.166666666667</v>
      </c>
      <c r="J104" s="397">
        <f t="shared" ref="J104:R104" si="49">I104</f>
        <v>4409.166666666667</v>
      </c>
      <c r="K104" s="397">
        <f t="shared" si="49"/>
        <v>4409.166666666667</v>
      </c>
      <c r="L104" s="397">
        <f t="shared" si="49"/>
        <v>4409.166666666667</v>
      </c>
      <c r="M104" s="397">
        <f t="shared" si="49"/>
        <v>4409.166666666667</v>
      </c>
      <c r="N104" s="397">
        <f t="shared" si="49"/>
        <v>4409.166666666667</v>
      </c>
      <c r="O104" s="397">
        <f t="shared" si="49"/>
        <v>4409.166666666667</v>
      </c>
      <c r="P104" s="397">
        <f t="shared" si="49"/>
        <v>4409.166666666667</v>
      </c>
      <c r="Q104" s="397">
        <f t="shared" si="49"/>
        <v>4409.166666666667</v>
      </c>
      <c r="R104" s="397">
        <f t="shared" si="49"/>
        <v>4409.166666666667</v>
      </c>
      <c r="S104" s="366">
        <f t="shared" si="48"/>
        <v>52909.999999999993</v>
      </c>
    </row>
    <row r="105" spans="1:19">
      <c r="A105" s="206">
        <v>63</v>
      </c>
      <c r="B105" s="36"/>
      <c r="C105" s="9"/>
      <c r="D105" s="9" t="s">
        <v>78</v>
      </c>
      <c r="E105" s="18" t="s">
        <v>79</v>
      </c>
      <c r="F105" s="140" t="s">
        <v>107</v>
      </c>
      <c r="G105" s="365">
        <f>'Yr 1 Operating Statement of Act'!G107/12</f>
        <v>0</v>
      </c>
      <c r="H105" s="397">
        <f t="shared" si="46"/>
        <v>0</v>
      </c>
      <c r="I105" s="397">
        <f t="shared" si="46"/>
        <v>0</v>
      </c>
      <c r="J105" s="397">
        <f t="shared" ref="J105:R105" si="50">I105</f>
        <v>0</v>
      </c>
      <c r="K105" s="397">
        <f t="shared" si="50"/>
        <v>0</v>
      </c>
      <c r="L105" s="397">
        <f t="shared" si="50"/>
        <v>0</v>
      </c>
      <c r="M105" s="397">
        <f t="shared" si="50"/>
        <v>0</v>
      </c>
      <c r="N105" s="397">
        <f t="shared" si="50"/>
        <v>0</v>
      </c>
      <c r="O105" s="397">
        <f t="shared" si="50"/>
        <v>0</v>
      </c>
      <c r="P105" s="397">
        <f t="shared" si="50"/>
        <v>0</v>
      </c>
      <c r="Q105" s="397">
        <f t="shared" si="50"/>
        <v>0</v>
      </c>
      <c r="R105" s="397">
        <f t="shared" si="50"/>
        <v>0</v>
      </c>
      <c r="S105" s="366">
        <f t="shared" si="48"/>
        <v>0</v>
      </c>
    </row>
    <row r="106" spans="1:19">
      <c r="A106" s="206">
        <v>64</v>
      </c>
      <c r="B106" s="36"/>
      <c r="C106" s="9"/>
      <c r="D106" s="9" t="s">
        <v>81</v>
      </c>
      <c r="E106" s="18" t="s">
        <v>82</v>
      </c>
      <c r="F106" s="140" t="s">
        <v>107</v>
      </c>
      <c r="G106" s="365">
        <f>'Yr 1 Operating Statement of Act'!G108/12</f>
        <v>4500.666666666667</v>
      </c>
      <c r="H106" s="397">
        <f t="shared" si="46"/>
        <v>4500.666666666667</v>
      </c>
      <c r="I106" s="397">
        <f t="shared" si="46"/>
        <v>4500.666666666667</v>
      </c>
      <c r="J106" s="397">
        <f t="shared" ref="J106:R106" si="51">I106</f>
        <v>4500.666666666667</v>
      </c>
      <c r="K106" s="397">
        <f t="shared" si="51"/>
        <v>4500.666666666667</v>
      </c>
      <c r="L106" s="397">
        <f t="shared" si="51"/>
        <v>4500.666666666667</v>
      </c>
      <c r="M106" s="397">
        <f t="shared" si="51"/>
        <v>4500.666666666667</v>
      </c>
      <c r="N106" s="397">
        <f t="shared" si="51"/>
        <v>4500.666666666667</v>
      </c>
      <c r="O106" s="397">
        <f t="shared" si="51"/>
        <v>4500.666666666667</v>
      </c>
      <c r="P106" s="397">
        <f t="shared" si="51"/>
        <v>4500.666666666667</v>
      </c>
      <c r="Q106" s="397">
        <f t="shared" si="51"/>
        <v>4500.666666666667</v>
      </c>
      <c r="R106" s="397">
        <f t="shared" si="51"/>
        <v>4500.666666666667</v>
      </c>
      <c r="S106" s="366">
        <f t="shared" si="48"/>
        <v>54007.999999999993</v>
      </c>
    </row>
    <row r="107" spans="1:19">
      <c r="A107" s="206">
        <v>65</v>
      </c>
      <c r="B107" s="36"/>
      <c r="C107" s="9" t="s">
        <v>83</v>
      </c>
      <c r="D107" s="9"/>
      <c r="E107" s="18" t="s">
        <v>84</v>
      </c>
      <c r="F107" s="140" t="s">
        <v>107</v>
      </c>
      <c r="G107" s="365">
        <f>'Yr 1 Operating Statement of Act'!G109/12</f>
        <v>3750</v>
      </c>
      <c r="H107" s="397">
        <f t="shared" si="46"/>
        <v>3750</v>
      </c>
      <c r="I107" s="397">
        <f t="shared" si="46"/>
        <v>3750</v>
      </c>
      <c r="J107" s="397">
        <f t="shared" ref="J107:R107" si="52">I107</f>
        <v>3750</v>
      </c>
      <c r="K107" s="397">
        <f t="shared" si="52"/>
        <v>3750</v>
      </c>
      <c r="L107" s="397">
        <f t="shared" si="52"/>
        <v>3750</v>
      </c>
      <c r="M107" s="397">
        <f t="shared" si="52"/>
        <v>3750</v>
      </c>
      <c r="N107" s="397">
        <f t="shared" si="52"/>
        <v>3750</v>
      </c>
      <c r="O107" s="397">
        <f t="shared" si="52"/>
        <v>3750</v>
      </c>
      <c r="P107" s="397">
        <f t="shared" si="52"/>
        <v>3750</v>
      </c>
      <c r="Q107" s="397">
        <f t="shared" si="52"/>
        <v>3750</v>
      </c>
      <c r="R107" s="397">
        <f t="shared" si="52"/>
        <v>3750</v>
      </c>
      <c r="S107" s="366">
        <f t="shared" si="48"/>
        <v>45000</v>
      </c>
    </row>
    <row r="108" spans="1:19">
      <c r="A108" s="206">
        <v>66</v>
      </c>
      <c r="B108" s="36"/>
      <c r="C108" s="9" t="s">
        <v>85</v>
      </c>
      <c r="D108" s="9"/>
      <c r="E108" s="18">
        <v>430</v>
      </c>
      <c r="F108" s="140">
        <v>1210</v>
      </c>
      <c r="G108" s="365">
        <f>'Yr 1 Operating Statement of Act'!G110/12</f>
        <v>0</v>
      </c>
      <c r="H108" s="397">
        <f t="shared" si="46"/>
        <v>0</v>
      </c>
      <c r="I108" s="397">
        <f t="shared" si="46"/>
        <v>0</v>
      </c>
      <c r="J108" s="397">
        <f t="shared" ref="J108:R108" si="53">I108</f>
        <v>0</v>
      </c>
      <c r="K108" s="397">
        <f t="shared" si="53"/>
        <v>0</v>
      </c>
      <c r="L108" s="397">
        <f t="shared" si="53"/>
        <v>0</v>
      </c>
      <c r="M108" s="397">
        <f t="shared" si="53"/>
        <v>0</v>
      </c>
      <c r="N108" s="397">
        <f t="shared" si="53"/>
        <v>0</v>
      </c>
      <c r="O108" s="397">
        <f t="shared" si="53"/>
        <v>0</v>
      </c>
      <c r="P108" s="397">
        <f t="shared" si="53"/>
        <v>0</v>
      </c>
      <c r="Q108" s="397">
        <f t="shared" si="53"/>
        <v>0</v>
      </c>
      <c r="R108" s="397">
        <f t="shared" si="53"/>
        <v>0</v>
      </c>
      <c r="S108" s="366">
        <f t="shared" si="48"/>
        <v>0</v>
      </c>
    </row>
    <row r="109" spans="1:19">
      <c r="A109" s="206">
        <v>67</v>
      </c>
      <c r="B109" s="36"/>
      <c r="C109" s="9" t="s">
        <v>87</v>
      </c>
      <c r="D109" s="9"/>
      <c r="E109" s="18" t="s">
        <v>88</v>
      </c>
      <c r="F109" s="140" t="s">
        <v>107</v>
      </c>
      <c r="G109" s="365">
        <f>'Yr 1 Operating Statement of Act'!G111/12</f>
        <v>0</v>
      </c>
      <c r="H109" s="397">
        <f t="shared" si="46"/>
        <v>0</v>
      </c>
      <c r="I109" s="397">
        <f t="shared" si="46"/>
        <v>0</v>
      </c>
      <c r="J109" s="397">
        <f t="shared" ref="J109:R109" si="54">I109</f>
        <v>0</v>
      </c>
      <c r="K109" s="397">
        <f t="shared" si="54"/>
        <v>0</v>
      </c>
      <c r="L109" s="397">
        <f t="shared" si="54"/>
        <v>0</v>
      </c>
      <c r="M109" s="397">
        <f t="shared" si="54"/>
        <v>0</v>
      </c>
      <c r="N109" s="397">
        <f t="shared" si="54"/>
        <v>0</v>
      </c>
      <c r="O109" s="397">
        <f t="shared" si="54"/>
        <v>0</v>
      </c>
      <c r="P109" s="397">
        <f t="shared" si="54"/>
        <v>0</v>
      </c>
      <c r="Q109" s="397">
        <f t="shared" si="54"/>
        <v>0</v>
      </c>
      <c r="R109" s="397">
        <f t="shared" si="54"/>
        <v>0</v>
      </c>
      <c r="S109" s="366">
        <f t="shared" si="48"/>
        <v>0</v>
      </c>
    </row>
    <row r="110" spans="1:19">
      <c r="A110" s="206"/>
      <c r="B110" s="36"/>
      <c r="C110" s="9" t="s">
        <v>109</v>
      </c>
      <c r="D110" s="9"/>
      <c r="E110" s="61"/>
      <c r="F110" s="139"/>
      <c r="G110" s="383"/>
      <c r="H110" s="400"/>
      <c r="I110" s="400"/>
      <c r="J110" s="400"/>
      <c r="K110" s="400"/>
      <c r="L110" s="400"/>
      <c r="M110" s="400"/>
      <c r="N110" s="400"/>
      <c r="O110" s="400"/>
      <c r="P110" s="400"/>
      <c r="Q110" s="400"/>
      <c r="R110" s="400"/>
      <c r="S110" s="425"/>
    </row>
    <row r="111" spans="1:19">
      <c r="A111" s="206">
        <v>68</v>
      </c>
      <c r="B111" s="36"/>
      <c r="C111" s="9"/>
      <c r="D111" s="9" t="s">
        <v>110</v>
      </c>
      <c r="E111" s="18" t="s">
        <v>90</v>
      </c>
      <c r="F111" s="140" t="s">
        <v>107</v>
      </c>
      <c r="G111" s="365">
        <f>'Yr 1 Operating Statement of Act'!G113/12</f>
        <v>128.33333333333334</v>
      </c>
      <c r="H111" s="397">
        <f t="shared" ref="H111:I120" si="55">G111</f>
        <v>128.33333333333334</v>
      </c>
      <c r="I111" s="397">
        <f t="shared" si="55"/>
        <v>128.33333333333334</v>
      </c>
      <c r="J111" s="397">
        <f t="shared" ref="J111:R111" si="56">I111</f>
        <v>128.33333333333334</v>
      </c>
      <c r="K111" s="397">
        <f t="shared" si="56"/>
        <v>128.33333333333334</v>
      </c>
      <c r="L111" s="397">
        <f t="shared" si="56"/>
        <v>128.33333333333334</v>
      </c>
      <c r="M111" s="397">
        <f t="shared" si="56"/>
        <v>128.33333333333334</v>
      </c>
      <c r="N111" s="397">
        <f t="shared" si="56"/>
        <v>128.33333333333334</v>
      </c>
      <c r="O111" s="397">
        <f t="shared" si="56"/>
        <v>128.33333333333334</v>
      </c>
      <c r="P111" s="397">
        <f t="shared" si="56"/>
        <v>128.33333333333334</v>
      </c>
      <c r="Q111" s="397">
        <f t="shared" si="56"/>
        <v>128.33333333333334</v>
      </c>
      <c r="R111" s="397">
        <f t="shared" si="56"/>
        <v>128.33333333333334</v>
      </c>
      <c r="S111" s="366">
        <f t="shared" ref="S111:S124" si="57">SUM(G111:R111)</f>
        <v>1539.9999999999998</v>
      </c>
    </row>
    <row r="112" spans="1:19">
      <c r="A112" s="206">
        <v>69</v>
      </c>
      <c r="B112" s="36"/>
      <c r="C112" s="9"/>
      <c r="D112" s="9" t="s">
        <v>91</v>
      </c>
      <c r="E112" s="18" t="s">
        <v>92</v>
      </c>
      <c r="F112" s="140" t="s">
        <v>107</v>
      </c>
      <c r="G112" s="365">
        <f>'Yr 1 Operating Statement of Act'!G114/12</f>
        <v>715</v>
      </c>
      <c r="H112" s="397">
        <f t="shared" si="55"/>
        <v>715</v>
      </c>
      <c r="I112" s="397">
        <f t="shared" si="55"/>
        <v>715</v>
      </c>
      <c r="J112" s="397">
        <f t="shared" ref="J112:R112" si="58">I112</f>
        <v>715</v>
      </c>
      <c r="K112" s="397">
        <f t="shared" si="58"/>
        <v>715</v>
      </c>
      <c r="L112" s="397">
        <f t="shared" si="58"/>
        <v>715</v>
      </c>
      <c r="M112" s="397">
        <f t="shared" si="58"/>
        <v>715</v>
      </c>
      <c r="N112" s="397">
        <f t="shared" si="58"/>
        <v>715</v>
      </c>
      <c r="O112" s="397">
        <f t="shared" si="58"/>
        <v>715</v>
      </c>
      <c r="P112" s="397">
        <f t="shared" si="58"/>
        <v>715</v>
      </c>
      <c r="Q112" s="397">
        <f t="shared" si="58"/>
        <v>715</v>
      </c>
      <c r="R112" s="397">
        <f t="shared" si="58"/>
        <v>715</v>
      </c>
      <c r="S112" s="366">
        <f t="shared" si="57"/>
        <v>8580</v>
      </c>
    </row>
    <row r="113" spans="1:19">
      <c r="A113" s="206">
        <v>70</v>
      </c>
      <c r="B113" s="36"/>
      <c r="C113" s="9" t="s">
        <v>93</v>
      </c>
      <c r="D113" s="9"/>
      <c r="E113" s="18" t="s">
        <v>94</v>
      </c>
      <c r="F113" s="140" t="s">
        <v>107</v>
      </c>
      <c r="G113" s="365">
        <f>'Yr 1 Operating Statement of Act'!G115/12</f>
        <v>183.33333333333334</v>
      </c>
      <c r="H113" s="397">
        <f t="shared" si="55"/>
        <v>183.33333333333334</v>
      </c>
      <c r="I113" s="397">
        <f t="shared" si="55"/>
        <v>183.33333333333334</v>
      </c>
      <c r="J113" s="397">
        <f t="shared" ref="J113:R113" si="59">I113</f>
        <v>183.33333333333334</v>
      </c>
      <c r="K113" s="397">
        <f t="shared" si="59"/>
        <v>183.33333333333334</v>
      </c>
      <c r="L113" s="397">
        <f t="shared" si="59"/>
        <v>183.33333333333334</v>
      </c>
      <c r="M113" s="397">
        <f t="shared" si="59"/>
        <v>183.33333333333334</v>
      </c>
      <c r="N113" s="397">
        <f t="shared" si="59"/>
        <v>183.33333333333334</v>
      </c>
      <c r="O113" s="397">
        <f t="shared" si="59"/>
        <v>183.33333333333334</v>
      </c>
      <c r="P113" s="397">
        <f t="shared" si="59"/>
        <v>183.33333333333334</v>
      </c>
      <c r="Q113" s="397">
        <f t="shared" si="59"/>
        <v>183.33333333333334</v>
      </c>
      <c r="R113" s="397">
        <f t="shared" si="59"/>
        <v>183.33333333333334</v>
      </c>
      <c r="S113" s="366">
        <f t="shared" si="57"/>
        <v>2199.9999999999995</v>
      </c>
    </row>
    <row r="114" spans="1:19">
      <c r="A114" s="206">
        <v>71</v>
      </c>
      <c r="B114" s="36"/>
      <c r="C114" s="9" t="s">
        <v>95</v>
      </c>
      <c r="D114" s="9"/>
      <c r="E114" s="18" t="s">
        <v>96</v>
      </c>
      <c r="F114" s="140" t="s">
        <v>107</v>
      </c>
      <c r="G114" s="365">
        <f>'Yr 1 Operating Statement of Act'!G116/12</f>
        <v>282.33333333333331</v>
      </c>
      <c r="H114" s="397">
        <f t="shared" si="55"/>
        <v>282.33333333333331</v>
      </c>
      <c r="I114" s="397">
        <f t="shared" si="55"/>
        <v>282.33333333333331</v>
      </c>
      <c r="J114" s="397">
        <f t="shared" ref="J114:R114" si="60">I114</f>
        <v>282.33333333333331</v>
      </c>
      <c r="K114" s="397">
        <f t="shared" si="60"/>
        <v>282.33333333333331</v>
      </c>
      <c r="L114" s="397">
        <f t="shared" si="60"/>
        <v>282.33333333333331</v>
      </c>
      <c r="M114" s="397">
        <f t="shared" si="60"/>
        <v>282.33333333333331</v>
      </c>
      <c r="N114" s="397">
        <f t="shared" si="60"/>
        <v>282.33333333333331</v>
      </c>
      <c r="O114" s="397">
        <f t="shared" si="60"/>
        <v>282.33333333333331</v>
      </c>
      <c r="P114" s="397">
        <f t="shared" si="60"/>
        <v>282.33333333333331</v>
      </c>
      <c r="Q114" s="397">
        <f t="shared" si="60"/>
        <v>282.33333333333331</v>
      </c>
      <c r="R114" s="397">
        <f t="shared" si="60"/>
        <v>282.33333333333331</v>
      </c>
      <c r="S114" s="366">
        <f t="shared" si="57"/>
        <v>3388.0000000000005</v>
      </c>
    </row>
    <row r="115" spans="1:19">
      <c r="A115" s="206">
        <v>72</v>
      </c>
      <c r="B115" s="36"/>
      <c r="C115" s="9" t="s">
        <v>295</v>
      </c>
      <c r="D115" s="9"/>
      <c r="E115" s="18" t="s">
        <v>97</v>
      </c>
      <c r="F115" s="140" t="s">
        <v>34</v>
      </c>
      <c r="G115" s="365">
        <v>0</v>
      </c>
      <c r="H115" s="365">
        <f>('Yr 1 Operating Statement of Act'!$G117/12)</f>
        <v>2265.6666666666665</v>
      </c>
      <c r="I115" s="397">
        <f t="shared" si="55"/>
        <v>2265.6666666666665</v>
      </c>
      <c r="J115" s="397">
        <f t="shared" ref="J115:R115" si="61">I115</f>
        <v>2265.6666666666665</v>
      </c>
      <c r="K115" s="397">
        <f t="shared" si="61"/>
        <v>2265.6666666666665</v>
      </c>
      <c r="L115" s="397">
        <f t="shared" si="61"/>
        <v>2265.6666666666665</v>
      </c>
      <c r="M115" s="397">
        <f t="shared" si="61"/>
        <v>2265.6666666666665</v>
      </c>
      <c r="N115" s="397">
        <f t="shared" si="61"/>
        <v>2265.6666666666665</v>
      </c>
      <c r="O115" s="397">
        <f t="shared" si="61"/>
        <v>2265.6666666666665</v>
      </c>
      <c r="P115" s="397">
        <f t="shared" si="61"/>
        <v>2265.6666666666665</v>
      </c>
      <c r="Q115" s="397">
        <f t="shared" si="61"/>
        <v>2265.6666666666665</v>
      </c>
      <c r="R115" s="397">
        <f t="shared" si="61"/>
        <v>2265.6666666666665</v>
      </c>
      <c r="S115" s="366">
        <f t="shared" si="57"/>
        <v>24922.333333333336</v>
      </c>
    </row>
    <row r="116" spans="1:19">
      <c r="A116" s="206">
        <v>73</v>
      </c>
      <c r="B116" s="36"/>
      <c r="C116" s="9" t="s">
        <v>98</v>
      </c>
      <c r="D116" s="9"/>
      <c r="E116" s="18" t="s">
        <v>99</v>
      </c>
      <c r="F116" s="140" t="s">
        <v>34</v>
      </c>
      <c r="G116" s="365">
        <f>'Yr 1 Operating Statement of Act'!G118/12</f>
        <v>1540.4416666666666</v>
      </c>
      <c r="H116" s="397">
        <f t="shared" si="55"/>
        <v>1540.4416666666666</v>
      </c>
      <c r="I116" s="397">
        <f t="shared" si="55"/>
        <v>1540.4416666666666</v>
      </c>
      <c r="J116" s="397">
        <f t="shared" ref="J116:R116" si="62">I116</f>
        <v>1540.4416666666666</v>
      </c>
      <c r="K116" s="397">
        <f t="shared" si="62"/>
        <v>1540.4416666666666</v>
      </c>
      <c r="L116" s="397">
        <f t="shared" si="62"/>
        <v>1540.4416666666666</v>
      </c>
      <c r="M116" s="397">
        <f t="shared" si="62"/>
        <v>1540.4416666666666</v>
      </c>
      <c r="N116" s="397">
        <f t="shared" si="62"/>
        <v>1540.4416666666666</v>
      </c>
      <c r="O116" s="397">
        <f t="shared" si="62"/>
        <v>1540.4416666666666</v>
      </c>
      <c r="P116" s="397">
        <f t="shared" si="62"/>
        <v>1540.4416666666666</v>
      </c>
      <c r="Q116" s="397">
        <f t="shared" si="62"/>
        <v>1540.4416666666666</v>
      </c>
      <c r="R116" s="397">
        <f t="shared" si="62"/>
        <v>1540.4416666666666</v>
      </c>
      <c r="S116" s="366">
        <f t="shared" si="57"/>
        <v>18485.299999999996</v>
      </c>
    </row>
    <row r="117" spans="1:19">
      <c r="A117" s="206">
        <v>74</v>
      </c>
      <c r="B117" s="36"/>
      <c r="C117" s="9" t="s">
        <v>100</v>
      </c>
      <c r="D117" s="9"/>
      <c r="E117" s="18" t="s">
        <v>101</v>
      </c>
      <c r="F117" s="140" t="s">
        <v>34</v>
      </c>
      <c r="G117" s="365">
        <f>'Yr 1 Operating Statement of Act'!G119/12</f>
        <v>360.26458333333335</v>
      </c>
      <c r="H117" s="397">
        <f t="shared" si="55"/>
        <v>360.26458333333335</v>
      </c>
      <c r="I117" s="397">
        <f t="shared" si="55"/>
        <v>360.26458333333335</v>
      </c>
      <c r="J117" s="397">
        <f t="shared" ref="J117:R117" si="63">I117</f>
        <v>360.26458333333335</v>
      </c>
      <c r="K117" s="397">
        <f t="shared" si="63"/>
        <v>360.26458333333335</v>
      </c>
      <c r="L117" s="397">
        <f t="shared" si="63"/>
        <v>360.26458333333335</v>
      </c>
      <c r="M117" s="397">
        <f t="shared" si="63"/>
        <v>360.26458333333335</v>
      </c>
      <c r="N117" s="397">
        <f t="shared" si="63"/>
        <v>360.26458333333335</v>
      </c>
      <c r="O117" s="397">
        <f t="shared" si="63"/>
        <v>360.26458333333335</v>
      </c>
      <c r="P117" s="397">
        <f t="shared" si="63"/>
        <v>360.26458333333335</v>
      </c>
      <c r="Q117" s="397">
        <f t="shared" si="63"/>
        <v>360.26458333333335</v>
      </c>
      <c r="R117" s="397">
        <f t="shared" si="63"/>
        <v>360.26458333333335</v>
      </c>
      <c r="S117" s="366">
        <f t="shared" si="57"/>
        <v>4323.1750000000011</v>
      </c>
    </row>
    <row r="118" spans="1:19">
      <c r="A118" s="206">
        <v>75</v>
      </c>
      <c r="B118" s="36"/>
      <c r="C118" s="9" t="s">
        <v>219</v>
      </c>
      <c r="D118" s="9"/>
      <c r="E118" s="18" t="s">
        <v>220</v>
      </c>
      <c r="F118" s="140">
        <v>1200</v>
      </c>
      <c r="G118" s="365">
        <f>'Yr 1 Operating Statement of Act'!G120/12</f>
        <v>496.91666666666669</v>
      </c>
      <c r="H118" s="397">
        <f t="shared" si="55"/>
        <v>496.91666666666669</v>
      </c>
      <c r="I118" s="397">
        <f t="shared" si="55"/>
        <v>496.91666666666669</v>
      </c>
      <c r="J118" s="397">
        <f t="shared" ref="J118:R118" si="64">I118</f>
        <v>496.91666666666669</v>
      </c>
      <c r="K118" s="397">
        <f t="shared" si="64"/>
        <v>496.91666666666669</v>
      </c>
      <c r="L118" s="397">
        <f t="shared" si="64"/>
        <v>496.91666666666669</v>
      </c>
      <c r="M118" s="397">
        <f t="shared" si="64"/>
        <v>496.91666666666669</v>
      </c>
      <c r="N118" s="397">
        <f t="shared" si="64"/>
        <v>496.91666666666669</v>
      </c>
      <c r="O118" s="397">
        <f t="shared" si="64"/>
        <v>496.91666666666669</v>
      </c>
      <c r="P118" s="397">
        <f t="shared" si="64"/>
        <v>496.91666666666669</v>
      </c>
      <c r="Q118" s="397">
        <f t="shared" si="64"/>
        <v>496.91666666666669</v>
      </c>
      <c r="R118" s="397">
        <f t="shared" si="64"/>
        <v>496.91666666666669</v>
      </c>
      <c r="S118" s="366">
        <f t="shared" si="57"/>
        <v>5963.0000000000009</v>
      </c>
    </row>
    <row r="119" spans="1:19">
      <c r="A119" s="206">
        <v>76</v>
      </c>
      <c r="B119" s="36"/>
      <c r="C119" s="9" t="s">
        <v>102</v>
      </c>
      <c r="D119" s="9"/>
      <c r="E119" s="18" t="s">
        <v>103</v>
      </c>
      <c r="F119" s="140" t="s">
        <v>34</v>
      </c>
      <c r="G119" s="365">
        <f>'Yr 1 Operating Statement of Act'!G121/12</f>
        <v>243.48916666666665</v>
      </c>
      <c r="H119" s="397">
        <f t="shared" si="55"/>
        <v>243.48916666666665</v>
      </c>
      <c r="I119" s="397">
        <f t="shared" si="55"/>
        <v>243.48916666666665</v>
      </c>
      <c r="J119" s="397">
        <f t="shared" ref="J119:R119" si="65">I119</f>
        <v>243.48916666666665</v>
      </c>
      <c r="K119" s="397">
        <f t="shared" si="65"/>
        <v>243.48916666666665</v>
      </c>
      <c r="L119" s="397">
        <f t="shared" si="65"/>
        <v>243.48916666666665</v>
      </c>
      <c r="M119" s="397">
        <f t="shared" si="65"/>
        <v>243.48916666666665</v>
      </c>
      <c r="N119" s="397">
        <f t="shared" si="65"/>
        <v>243.48916666666665</v>
      </c>
      <c r="O119" s="397">
        <f t="shared" si="65"/>
        <v>243.48916666666665</v>
      </c>
      <c r="P119" s="397">
        <f t="shared" si="65"/>
        <v>243.48916666666665</v>
      </c>
      <c r="Q119" s="397">
        <f t="shared" si="65"/>
        <v>243.48916666666665</v>
      </c>
      <c r="R119" s="397">
        <f t="shared" si="65"/>
        <v>243.48916666666665</v>
      </c>
      <c r="S119" s="366">
        <f t="shared" si="57"/>
        <v>2921.8700000000003</v>
      </c>
    </row>
    <row r="120" spans="1:19">
      <c r="A120" s="206">
        <v>77</v>
      </c>
      <c r="B120" s="36"/>
      <c r="C120" s="9" t="s">
        <v>104</v>
      </c>
      <c r="D120" s="9"/>
      <c r="E120" s="18" t="s">
        <v>105</v>
      </c>
      <c r="F120" s="140" t="s">
        <v>34</v>
      </c>
      <c r="G120" s="365">
        <f>'Yr 1 Operating Statement of Act'!G122/12</f>
        <v>186.34375</v>
      </c>
      <c r="H120" s="397">
        <f t="shared" si="55"/>
        <v>186.34375</v>
      </c>
      <c r="I120" s="397">
        <f t="shared" si="55"/>
        <v>186.34375</v>
      </c>
      <c r="J120" s="397">
        <f t="shared" ref="J120:R120" si="66">I120</f>
        <v>186.34375</v>
      </c>
      <c r="K120" s="397">
        <f t="shared" si="66"/>
        <v>186.34375</v>
      </c>
      <c r="L120" s="397">
        <f t="shared" si="66"/>
        <v>186.34375</v>
      </c>
      <c r="M120" s="397">
        <f t="shared" si="66"/>
        <v>186.34375</v>
      </c>
      <c r="N120" s="397">
        <f t="shared" si="66"/>
        <v>186.34375</v>
      </c>
      <c r="O120" s="397">
        <f t="shared" si="66"/>
        <v>186.34375</v>
      </c>
      <c r="P120" s="397">
        <f t="shared" si="66"/>
        <v>186.34375</v>
      </c>
      <c r="Q120" s="397">
        <f t="shared" si="66"/>
        <v>186.34375</v>
      </c>
      <c r="R120" s="397">
        <f t="shared" si="66"/>
        <v>186.34375</v>
      </c>
      <c r="S120" s="366">
        <f t="shared" si="57"/>
        <v>2236.125</v>
      </c>
    </row>
    <row r="121" spans="1:19">
      <c r="A121" s="206">
        <v>78</v>
      </c>
      <c r="B121" s="36"/>
      <c r="C121" s="85" t="s">
        <v>283</v>
      </c>
      <c r="D121" s="9"/>
      <c r="E121" s="18"/>
      <c r="F121" s="140"/>
      <c r="G121" s="365"/>
      <c r="H121" s="397"/>
      <c r="I121" s="397"/>
      <c r="J121" s="397"/>
      <c r="K121" s="397"/>
      <c r="L121" s="397"/>
      <c r="M121" s="397"/>
      <c r="N121" s="397"/>
      <c r="O121" s="397"/>
      <c r="P121" s="397"/>
      <c r="Q121" s="397"/>
      <c r="R121" s="366"/>
      <c r="S121" s="366">
        <f t="shared" si="57"/>
        <v>0</v>
      </c>
    </row>
    <row r="122" spans="1:19">
      <c r="A122" s="206">
        <v>79</v>
      </c>
      <c r="B122" s="36"/>
      <c r="C122" s="85"/>
      <c r="D122" s="9"/>
      <c r="E122" s="18"/>
      <c r="F122" s="140"/>
      <c r="G122" s="365"/>
      <c r="H122" s="397"/>
      <c r="I122" s="397"/>
      <c r="J122" s="397"/>
      <c r="K122" s="397"/>
      <c r="L122" s="397"/>
      <c r="M122" s="397"/>
      <c r="N122" s="397"/>
      <c r="O122" s="397"/>
      <c r="P122" s="397"/>
      <c r="Q122" s="397"/>
      <c r="R122" s="366"/>
      <c r="S122" s="366">
        <f t="shared" si="57"/>
        <v>0</v>
      </c>
    </row>
    <row r="123" spans="1:19">
      <c r="A123" s="206">
        <v>80</v>
      </c>
      <c r="B123" s="36"/>
      <c r="C123" s="85"/>
      <c r="D123" s="9"/>
      <c r="E123" s="18"/>
      <c r="F123" s="140"/>
      <c r="G123" s="365"/>
      <c r="H123" s="397"/>
      <c r="I123" s="397"/>
      <c r="J123" s="397"/>
      <c r="K123" s="397"/>
      <c r="L123" s="397"/>
      <c r="M123" s="397"/>
      <c r="N123" s="397"/>
      <c r="O123" s="397"/>
      <c r="P123" s="397"/>
      <c r="Q123" s="397"/>
      <c r="R123" s="366"/>
      <c r="S123" s="366">
        <f t="shared" si="57"/>
        <v>0</v>
      </c>
    </row>
    <row r="124" spans="1:19">
      <c r="A124" s="206">
        <v>81</v>
      </c>
      <c r="C124" s="2"/>
      <c r="E124" s="14"/>
      <c r="F124" s="148"/>
      <c r="G124" s="385"/>
      <c r="H124" s="401"/>
      <c r="I124" s="401"/>
      <c r="J124" s="401"/>
      <c r="K124" s="401"/>
      <c r="L124" s="401"/>
      <c r="M124" s="401"/>
      <c r="N124" s="401"/>
      <c r="O124" s="401"/>
      <c r="P124" s="401"/>
      <c r="Q124" s="401"/>
      <c r="R124" s="427"/>
      <c r="S124" s="366">
        <f t="shared" si="57"/>
        <v>0</v>
      </c>
    </row>
    <row r="125" spans="1:19">
      <c r="A125" s="207">
        <v>82</v>
      </c>
      <c r="B125" s="87" t="s">
        <v>7</v>
      </c>
      <c r="C125" s="51"/>
      <c r="D125" s="51"/>
      <c r="E125" s="49"/>
      <c r="F125" s="144"/>
      <c r="G125" s="384">
        <f t="shared" ref="G125:S125" si="67">SUM(G103:G124)</f>
        <v>24764.289166666666</v>
      </c>
      <c r="H125" s="408">
        <f t="shared" si="67"/>
        <v>34997.955833333326</v>
      </c>
      <c r="I125" s="408">
        <f t="shared" si="67"/>
        <v>34997.955833333326</v>
      </c>
      <c r="J125" s="408">
        <f t="shared" si="67"/>
        <v>34997.955833333326</v>
      </c>
      <c r="K125" s="408">
        <f t="shared" si="67"/>
        <v>34997.955833333326</v>
      </c>
      <c r="L125" s="408">
        <f t="shared" si="67"/>
        <v>34997.955833333326</v>
      </c>
      <c r="M125" s="408">
        <f t="shared" si="67"/>
        <v>34997.955833333326</v>
      </c>
      <c r="N125" s="408">
        <f t="shared" si="67"/>
        <v>34997.955833333326</v>
      </c>
      <c r="O125" s="408">
        <f t="shared" si="67"/>
        <v>34997.955833333326</v>
      </c>
      <c r="P125" s="408">
        <f t="shared" si="67"/>
        <v>34997.955833333326</v>
      </c>
      <c r="Q125" s="408">
        <f t="shared" si="67"/>
        <v>34997.955833333326</v>
      </c>
      <c r="R125" s="428">
        <f t="shared" si="67"/>
        <v>34997.955833333326</v>
      </c>
      <c r="S125" s="428">
        <f t="shared" si="67"/>
        <v>409741.80333333329</v>
      </c>
    </row>
    <row r="126" spans="1:19">
      <c r="A126" s="206"/>
      <c r="E126" s="14"/>
      <c r="F126" s="148"/>
      <c r="G126" s="380"/>
      <c r="H126" s="405"/>
      <c r="I126" s="405"/>
      <c r="J126" s="405"/>
      <c r="K126" s="405"/>
      <c r="L126" s="405"/>
      <c r="M126" s="405"/>
      <c r="N126" s="405"/>
      <c r="O126" s="405"/>
      <c r="P126" s="405"/>
      <c r="Q126" s="405"/>
      <c r="R126" s="432"/>
      <c r="S126" s="432"/>
    </row>
    <row r="127" spans="1:19">
      <c r="A127" s="204"/>
      <c r="B127" s="111" t="s">
        <v>276</v>
      </c>
      <c r="C127" s="112"/>
      <c r="D127" s="113"/>
      <c r="E127" s="61"/>
      <c r="F127" s="139"/>
      <c r="G127" s="383"/>
      <c r="H127" s="400"/>
      <c r="I127" s="400"/>
      <c r="J127" s="400"/>
      <c r="K127" s="400"/>
      <c r="L127" s="400"/>
      <c r="M127" s="400"/>
      <c r="N127" s="400"/>
      <c r="O127" s="400"/>
      <c r="P127" s="400"/>
      <c r="Q127" s="400"/>
      <c r="R127" s="425"/>
      <c r="S127" s="425"/>
    </row>
    <row r="128" spans="1:19" s="4" customFormat="1" ht="14.25" customHeight="1">
      <c r="A128" s="209"/>
      <c r="B128" s="89" t="s">
        <v>275</v>
      </c>
      <c r="C128" s="110"/>
      <c r="D128" s="110"/>
      <c r="E128" s="77"/>
      <c r="F128" s="151"/>
      <c r="G128" s="386"/>
      <c r="H128" s="409"/>
      <c r="I128" s="409"/>
      <c r="J128" s="409"/>
      <c r="K128" s="409"/>
      <c r="L128" s="409"/>
      <c r="M128" s="409"/>
      <c r="N128" s="409"/>
      <c r="O128" s="409"/>
      <c r="P128" s="409"/>
      <c r="Q128" s="409"/>
      <c r="R128" s="435"/>
      <c r="S128" s="435"/>
    </row>
    <row r="129" spans="1:19" s="4" customFormat="1" ht="13.5" customHeight="1">
      <c r="A129" s="206"/>
      <c r="B129" s="79"/>
      <c r="C129" s="9" t="s">
        <v>76</v>
      </c>
      <c r="E129" s="61"/>
      <c r="F129" s="139"/>
      <c r="G129" s="386"/>
      <c r="H129" s="409"/>
      <c r="I129" s="409"/>
      <c r="J129" s="409"/>
      <c r="K129" s="409"/>
      <c r="L129" s="409"/>
      <c r="M129" s="409"/>
      <c r="N129" s="409"/>
      <c r="O129" s="409"/>
      <c r="P129" s="409"/>
      <c r="Q129" s="409"/>
      <c r="R129" s="435"/>
      <c r="S129" s="435"/>
    </row>
    <row r="130" spans="1:19">
      <c r="A130" s="206">
        <v>83</v>
      </c>
      <c r="B130" s="36"/>
      <c r="C130" s="9"/>
      <c r="D130" s="9" t="s">
        <v>117</v>
      </c>
      <c r="E130" s="18">
        <v>112</v>
      </c>
      <c r="F130" s="140" t="s">
        <v>221</v>
      </c>
      <c r="G130" s="365">
        <f>('Yr 1 Operating Statement of Act'!$G132/12)*0.5</f>
        <v>3500</v>
      </c>
      <c r="H130" s="365">
        <f>('Yr 1 Operating Statement of Act'!$G132/12)</f>
        <v>7000</v>
      </c>
      <c r="I130" s="397">
        <f t="shared" ref="H130:I135" si="68">H130</f>
        <v>7000</v>
      </c>
      <c r="J130" s="397">
        <f t="shared" ref="J130:R130" si="69">I130</f>
        <v>7000</v>
      </c>
      <c r="K130" s="397">
        <f t="shared" si="69"/>
        <v>7000</v>
      </c>
      <c r="L130" s="397">
        <f t="shared" si="69"/>
        <v>7000</v>
      </c>
      <c r="M130" s="397">
        <f t="shared" si="69"/>
        <v>7000</v>
      </c>
      <c r="N130" s="397">
        <f t="shared" si="69"/>
        <v>7000</v>
      </c>
      <c r="O130" s="397">
        <f t="shared" si="69"/>
        <v>7000</v>
      </c>
      <c r="P130" s="397">
        <f t="shared" si="69"/>
        <v>7000</v>
      </c>
      <c r="Q130" s="397">
        <f t="shared" si="69"/>
        <v>7000</v>
      </c>
      <c r="R130" s="397">
        <f t="shared" si="69"/>
        <v>7000</v>
      </c>
      <c r="S130" s="366">
        <f t="shared" ref="S130:S135" si="70">SUM(G130:R130)</f>
        <v>80500</v>
      </c>
    </row>
    <row r="131" spans="1:19">
      <c r="A131" s="206">
        <v>84</v>
      </c>
      <c r="B131" s="36"/>
      <c r="C131" s="9"/>
      <c r="D131" s="9" t="s">
        <v>78</v>
      </c>
      <c r="E131" s="18">
        <v>115</v>
      </c>
      <c r="F131" s="140" t="s">
        <v>221</v>
      </c>
      <c r="G131" s="365">
        <f>'Yr 1 Operating Statement of Act'!G133/12</f>
        <v>0</v>
      </c>
      <c r="H131" s="397">
        <f t="shared" si="68"/>
        <v>0</v>
      </c>
      <c r="I131" s="397">
        <f t="shared" si="68"/>
        <v>0</v>
      </c>
      <c r="J131" s="397">
        <f t="shared" ref="J131:R131" si="71">I131</f>
        <v>0</v>
      </c>
      <c r="K131" s="397">
        <f t="shared" si="71"/>
        <v>0</v>
      </c>
      <c r="L131" s="397">
        <f t="shared" si="71"/>
        <v>0</v>
      </c>
      <c r="M131" s="397">
        <f t="shared" si="71"/>
        <v>0</v>
      </c>
      <c r="N131" s="397">
        <f t="shared" si="71"/>
        <v>0</v>
      </c>
      <c r="O131" s="397">
        <f t="shared" si="71"/>
        <v>0</v>
      </c>
      <c r="P131" s="397">
        <f t="shared" si="71"/>
        <v>0</v>
      </c>
      <c r="Q131" s="397">
        <f t="shared" si="71"/>
        <v>0</v>
      </c>
      <c r="R131" s="397">
        <f t="shared" si="71"/>
        <v>0</v>
      </c>
      <c r="S131" s="366">
        <f t="shared" si="70"/>
        <v>0</v>
      </c>
    </row>
    <row r="132" spans="1:19">
      <c r="A132" s="206">
        <v>85</v>
      </c>
      <c r="B132" s="36"/>
      <c r="C132" s="9"/>
      <c r="D132" s="9" t="s">
        <v>81</v>
      </c>
      <c r="E132" s="18">
        <v>123</v>
      </c>
      <c r="F132" s="140" t="s">
        <v>221</v>
      </c>
      <c r="G132" s="365">
        <f>'Yr 1 Operating Statement of Act'!G134/12</f>
        <v>0</v>
      </c>
      <c r="H132" s="397">
        <f t="shared" si="68"/>
        <v>0</v>
      </c>
      <c r="I132" s="397">
        <f t="shared" si="68"/>
        <v>0</v>
      </c>
      <c r="J132" s="397">
        <f t="shared" ref="J132:R132" si="72">I132</f>
        <v>0</v>
      </c>
      <c r="K132" s="397">
        <f t="shared" si="72"/>
        <v>0</v>
      </c>
      <c r="L132" s="397">
        <f t="shared" si="72"/>
        <v>0</v>
      </c>
      <c r="M132" s="397">
        <f t="shared" si="72"/>
        <v>0</v>
      </c>
      <c r="N132" s="397">
        <f t="shared" si="72"/>
        <v>0</v>
      </c>
      <c r="O132" s="397">
        <f t="shared" si="72"/>
        <v>0</v>
      </c>
      <c r="P132" s="397">
        <f t="shared" si="72"/>
        <v>0</v>
      </c>
      <c r="Q132" s="397">
        <f t="shared" si="72"/>
        <v>0</v>
      </c>
      <c r="R132" s="397">
        <f t="shared" si="72"/>
        <v>0</v>
      </c>
      <c r="S132" s="366">
        <f t="shared" si="70"/>
        <v>0</v>
      </c>
    </row>
    <row r="133" spans="1:19">
      <c r="A133" s="206">
        <v>86</v>
      </c>
      <c r="B133" s="36"/>
      <c r="C133" s="9" t="s">
        <v>83</v>
      </c>
      <c r="D133" s="9"/>
      <c r="E133" s="18" t="s">
        <v>84</v>
      </c>
      <c r="F133" s="140" t="s">
        <v>221</v>
      </c>
      <c r="G133" s="365">
        <f>'Yr 1 Operating Statement of Act'!G135/12</f>
        <v>0</v>
      </c>
      <c r="H133" s="397">
        <f t="shared" si="68"/>
        <v>0</v>
      </c>
      <c r="I133" s="397">
        <f t="shared" si="68"/>
        <v>0</v>
      </c>
      <c r="J133" s="397">
        <f t="shared" ref="J133:R133" si="73">I133</f>
        <v>0</v>
      </c>
      <c r="K133" s="397">
        <f t="shared" si="73"/>
        <v>0</v>
      </c>
      <c r="L133" s="397">
        <f t="shared" si="73"/>
        <v>0</v>
      </c>
      <c r="M133" s="397">
        <f t="shared" si="73"/>
        <v>0</v>
      </c>
      <c r="N133" s="397">
        <f t="shared" si="73"/>
        <v>0</v>
      </c>
      <c r="O133" s="397">
        <f t="shared" si="73"/>
        <v>0</v>
      </c>
      <c r="P133" s="397">
        <f t="shared" si="73"/>
        <v>0</v>
      </c>
      <c r="Q133" s="397">
        <f t="shared" si="73"/>
        <v>0</v>
      </c>
      <c r="R133" s="397">
        <f t="shared" si="73"/>
        <v>0</v>
      </c>
      <c r="S133" s="366">
        <f t="shared" si="70"/>
        <v>0</v>
      </c>
    </row>
    <row r="134" spans="1:19">
      <c r="A134" s="206">
        <v>87</v>
      </c>
      <c r="B134" s="36"/>
      <c r="C134" s="9" t="s">
        <v>85</v>
      </c>
      <c r="D134" s="9"/>
      <c r="E134" s="18">
        <v>430</v>
      </c>
      <c r="F134" s="140" t="s">
        <v>221</v>
      </c>
      <c r="G134" s="365">
        <f>'Yr 1 Operating Statement of Act'!G136/12</f>
        <v>0</v>
      </c>
      <c r="H134" s="397">
        <f t="shared" si="68"/>
        <v>0</v>
      </c>
      <c r="I134" s="397">
        <f t="shared" si="68"/>
        <v>0</v>
      </c>
      <c r="J134" s="397">
        <f t="shared" ref="J134:R134" si="74">I134</f>
        <v>0</v>
      </c>
      <c r="K134" s="397">
        <f t="shared" si="74"/>
        <v>0</v>
      </c>
      <c r="L134" s="397">
        <f t="shared" si="74"/>
        <v>0</v>
      </c>
      <c r="M134" s="397">
        <f t="shared" si="74"/>
        <v>0</v>
      </c>
      <c r="N134" s="397">
        <f t="shared" si="74"/>
        <v>0</v>
      </c>
      <c r="O134" s="397">
        <f t="shared" si="74"/>
        <v>0</v>
      </c>
      <c r="P134" s="397">
        <f t="shared" si="74"/>
        <v>0</v>
      </c>
      <c r="Q134" s="397">
        <f t="shared" si="74"/>
        <v>0</v>
      </c>
      <c r="R134" s="397">
        <f t="shared" si="74"/>
        <v>0</v>
      </c>
      <c r="S134" s="366">
        <f t="shared" si="70"/>
        <v>0</v>
      </c>
    </row>
    <row r="135" spans="1:19">
      <c r="A135" s="206">
        <v>88</v>
      </c>
      <c r="B135" s="36"/>
      <c r="C135" s="9" t="s">
        <v>87</v>
      </c>
      <c r="D135" s="9"/>
      <c r="E135" s="18" t="s">
        <v>88</v>
      </c>
      <c r="F135" s="140" t="s">
        <v>221</v>
      </c>
      <c r="G135" s="365">
        <f>'Yr 1 Operating Statement of Act'!G137/12</f>
        <v>0</v>
      </c>
      <c r="H135" s="397">
        <f t="shared" si="68"/>
        <v>0</v>
      </c>
      <c r="I135" s="397">
        <f t="shared" si="68"/>
        <v>0</v>
      </c>
      <c r="J135" s="397">
        <f t="shared" ref="J135:R135" si="75">I135</f>
        <v>0</v>
      </c>
      <c r="K135" s="397">
        <f t="shared" si="75"/>
        <v>0</v>
      </c>
      <c r="L135" s="397">
        <f t="shared" si="75"/>
        <v>0</v>
      </c>
      <c r="M135" s="397">
        <f t="shared" si="75"/>
        <v>0</v>
      </c>
      <c r="N135" s="397">
        <f t="shared" si="75"/>
        <v>0</v>
      </c>
      <c r="O135" s="397">
        <f t="shared" si="75"/>
        <v>0</v>
      </c>
      <c r="P135" s="397">
        <f t="shared" si="75"/>
        <v>0</v>
      </c>
      <c r="Q135" s="397">
        <f t="shared" si="75"/>
        <v>0</v>
      </c>
      <c r="R135" s="397">
        <f t="shared" si="75"/>
        <v>0</v>
      </c>
      <c r="S135" s="366">
        <f t="shared" si="70"/>
        <v>0</v>
      </c>
    </row>
    <row r="136" spans="1:19">
      <c r="A136" s="206"/>
      <c r="B136" s="36"/>
      <c r="C136" s="9" t="s">
        <v>109</v>
      </c>
      <c r="D136" s="9"/>
      <c r="E136" s="61"/>
      <c r="F136" s="139"/>
      <c r="G136" s="383"/>
      <c r="H136" s="400"/>
      <c r="I136" s="400"/>
      <c r="J136" s="400"/>
      <c r="K136" s="400"/>
      <c r="L136" s="400"/>
      <c r="M136" s="400"/>
      <c r="N136" s="400"/>
      <c r="O136" s="400"/>
      <c r="P136" s="400"/>
      <c r="Q136" s="400"/>
      <c r="R136" s="400"/>
      <c r="S136" s="425"/>
    </row>
    <row r="137" spans="1:19">
      <c r="A137" s="206">
        <v>89</v>
      </c>
      <c r="B137" s="36"/>
      <c r="C137" s="9"/>
      <c r="D137" s="9" t="s">
        <v>110</v>
      </c>
      <c r="E137" s="18" t="s">
        <v>90</v>
      </c>
      <c r="F137" s="140" t="s">
        <v>221</v>
      </c>
      <c r="G137" s="365">
        <f>'Yr 1 Operating Statement of Act'!G139/12</f>
        <v>833.33333333333337</v>
      </c>
      <c r="H137" s="397">
        <f t="shared" ref="H137:I146" si="76">G137</f>
        <v>833.33333333333337</v>
      </c>
      <c r="I137" s="397">
        <f t="shared" si="76"/>
        <v>833.33333333333337</v>
      </c>
      <c r="J137" s="397">
        <f t="shared" ref="J137:R137" si="77">I137</f>
        <v>833.33333333333337</v>
      </c>
      <c r="K137" s="397">
        <f t="shared" si="77"/>
        <v>833.33333333333337</v>
      </c>
      <c r="L137" s="397">
        <f t="shared" si="77"/>
        <v>833.33333333333337</v>
      </c>
      <c r="M137" s="397">
        <f t="shared" si="77"/>
        <v>833.33333333333337</v>
      </c>
      <c r="N137" s="397">
        <f t="shared" si="77"/>
        <v>833.33333333333337</v>
      </c>
      <c r="O137" s="397">
        <f t="shared" si="77"/>
        <v>833.33333333333337</v>
      </c>
      <c r="P137" s="397">
        <f t="shared" si="77"/>
        <v>833.33333333333337</v>
      </c>
      <c r="Q137" s="397">
        <f t="shared" si="77"/>
        <v>833.33333333333337</v>
      </c>
      <c r="R137" s="397">
        <f t="shared" si="77"/>
        <v>833.33333333333337</v>
      </c>
      <c r="S137" s="366">
        <f t="shared" ref="S137:S150" si="78">SUM(G137:R137)</f>
        <v>10000</v>
      </c>
    </row>
    <row r="138" spans="1:19">
      <c r="A138" s="206">
        <v>90</v>
      </c>
      <c r="B138" s="36"/>
      <c r="C138" s="9"/>
      <c r="D138" s="9" t="s">
        <v>91</v>
      </c>
      <c r="E138" s="18" t="s">
        <v>92</v>
      </c>
      <c r="F138" s="140" t="s">
        <v>221</v>
      </c>
      <c r="G138" s="365">
        <f>'Yr 1 Operating Statement of Act'!G140/12</f>
        <v>0</v>
      </c>
      <c r="H138" s="397">
        <f t="shared" si="76"/>
        <v>0</v>
      </c>
      <c r="I138" s="397">
        <f t="shared" si="76"/>
        <v>0</v>
      </c>
      <c r="J138" s="397">
        <f t="shared" ref="J138:R138" si="79">I138</f>
        <v>0</v>
      </c>
      <c r="K138" s="397">
        <f t="shared" si="79"/>
        <v>0</v>
      </c>
      <c r="L138" s="397">
        <f t="shared" si="79"/>
        <v>0</v>
      </c>
      <c r="M138" s="397">
        <f t="shared" si="79"/>
        <v>0</v>
      </c>
      <c r="N138" s="397">
        <f t="shared" si="79"/>
        <v>0</v>
      </c>
      <c r="O138" s="397">
        <f t="shared" si="79"/>
        <v>0</v>
      </c>
      <c r="P138" s="397">
        <f t="shared" si="79"/>
        <v>0</v>
      </c>
      <c r="Q138" s="397">
        <f t="shared" si="79"/>
        <v>0</v>
      </c>
      <c r="R138" s="397">
        <f t="shared" si="79"/>
        <v>0</v>
      </c>
      <c r="S138" s="366">
        <f t="shared" si="78"/>
        <v>0</v>
      </c>
    </row>
    <row r="139" spans="1:19">
      <c r="A139" s="206">
        <v>91</v>
      </c>
      <c r="B139" s="36"/>
      <c r="C139" s="9" t="s">
        <v>242</v>
      </c>
      <c r="D139" s="9"/>
      <c r="E139" s="18" t="s">
        <v>243</v>
      </c>
      <c r="F139" s="140" t="s">
        <v>221</v>
      </c>
      <c r="G139" s="365">
        <f>'Yr 1 Operating Statement of Act'!G141/12</f>
        <v>0</v>
      </c>
      <c r="H139" s="397">
        <f t="shared" si="76"/>
        <v>0</v>
      </c>
      <c r="I139" s="397">
        <f t="shared" si="76"/>
        <v>0</v>
      </c>
      <c r="J139" s="397">
        <f t="shared" ref="J139:R139" si="80">I139</f>
        <v>0</v>
      </c>
      <c r="K139" s="397">
        <f t="shared" si="80"/>
        <v>0</v>
      </c>
      <c r="L139" s="397">
        <f t="shared" si="80"/>
        <v>0</v>
      </c>
      <c r="M139" s="397">
        <f t="shared" si="80"/>
        <v>0</v>
      </c>
      <c r="N139" s="397">
        <f t="shared" si="80"/>
        <v>0</v>
      </c>
      <c r="O139" s="397">
        <f t="shared" si="80"/>
        <v>0</v>
      </c>
      <c r="P139" s="397">
        <f t="shared" si="80"/>
        <v>0</v>
      </c>
      <c r="Q139" s="397">
        <f t="shared" si="80"/>
        <v>0</v>
      </c>
      <c r="R139" s="397">
        <f t="shared" si="80"/>
        <v>0</v>
      </c>
      <c r="S139" s="366">
        <f t="shared" si="78"/>
        <v>0</v>
      </c>
    </row>
    <row r="140" spans="1:19">
      <c r="A140" s="206">
        <v>92</v>
      </c>
      <c r="B140" s="36"/>
      <c r="C140" s="9" t="s">
        <v>95</v>
      </c>
      <c r="D140" s="9"/>
      <c r="E140" s="18" t="s">
        <v>96</v>
      </c>
      <c r="F140" s="140" t="s">
        <v>221</v>
      </c>
      <c r="G140" s="365">
        <f>'Yr 1 Operating Statement of Act'!G142/12</f>
        <v>0</v>
      </c>
      <c r="H140" s="397">
        <f t="shared" si="76"/>
        <v>0</v>
      </c>
      <c r="I140" s="397">
        <f t="shared" si="76"/>
        <v>0</v>
      </c>
      <c r="J140" s="397">
        <f t="shared" ref="J140:R140" si="81">I140</f>
        <v>0</v>
      </c>
      <c r="K140" s="397">
        <f t="shared" si="81"/>
        <v>0</v>
      </c>
      <c r="L140" s="397">
        <f t="shared" si="81"/>
        <v>0</v>
      </c>
      <c r="M140" s="397">
        <f t="shared" si="81"/>
        <v>0</v>
      </c>
      <c r="N140" s="397">
        <f t="shared" si="81"/>
        <v>0</v>
      </c>
      <c r="O140" s="397">
        <f t="shared" si="81"/>
        <v>0</v>
      </c>
      <c r="P140" s="397">
        <f t="shared" si="81"/>
        <v>0</v>
      </c>
      <c r="Q140" s="397">
        <f t="shared" si="81"/>
        <v>0</v>
      </c>
      <c r="R140" s="397">
        <f t="shared" si="81"/>
        <v>0</v>
      </c>
      <c r="S140" s="366">
        <f t="shared" si="78"/>
        <v>0</v>
      </c>
    </row>
    <row r="141" spans="1:19">
      <c r="A141" s="206">
        <v>93</v>
      </c>
      <c r="B141" s="36"/>
      <c r="C141" s="9" t="s">
        <v>295</v>
      </c>
      <c r="D141" s="9"/>
      <c r="E141" s="18" t="s">
        <v>97</v>
      </c>
      <c r="F141" s="140" t="s">
        <v>221</v>
      </c>
      <c r="G141" s="365">
        <f>'Yr 1 Operating Statement of Act'!G143/12</f>
        <v>323.66666666666669</v>
      </c>
      <c r="H141" s="397">
        <f t="shared" si="76"/>
        <v>323.66666666666669</v>
      </c>
      <c r="I141" s="397">
        <f t="shared" si="76"/>
        <v>323.66666666666669</v>
      </c>
      <c r="J141" s="397">
        <f t="shared" ref="J141:R141" si="82">I141</f>
        <v>323.66666666666669</v>
      </c>
      <c r="K141" s="397">
        <f t="shared" si="82"/>
        <v>323.66666666666669</v>
      </c>
      <c r="L141" s="397">
        <f t="shared" si="82"/>
        <v>323.66666666666669</v>
      </c>
      <c r="M141" s="397">
        <f t="shared" si="82"/>
        <v>323.66666666666669</v>
      </c>
      <c r="N141" s="397">
        <f t="shared" si="82"/>
        <v>323.66666666666669</v>
      </c>
      <c r="O141" s="397">
        <f t="shared" si="82"/>
        <v>323.66666666666669</v>
      </c>
      <c r="P141" s="397">
        <f t="shared" si="82"/>
        <v>323.66666666666669</v>
      </c>
      <c r="Q141" s="397">
        <f t="shared" si="82"/>
        <v>323.66666666666669</v>
      </c>
      <c r="R141" s="397">
        <f t="shared" si="82"/>
        <v>323.66666666666669</v>
      </c>
      <c r="S141" s="366">
        <f t="shared" si="78"/>
        <v>3883.9999999999995</v>
      </c>
    </row>
    <row r="142" spans="1:19">
      <c r="A142" s="206">
        <v>94</v>
      </c>
      <c r="B142" s="36"/>
      <c r="C142" s="9" t="s">
        <v>98</v>
      </c>
      <c r="D142" s="9"/>
      <c r="E142" s="18" t="s">
        <v>99</v>
      </c>
      <c r="F142" s="140" t="s">
        <v>221</v>
      </c>
      <c r="G142" s="365">
        <f>'Yr 1 Operating Statement of Act'!G144/12</f>
        <v>434</v>
      </c>
      <c r="H142" s="397">
        <f t="shared" si="76"/>
        <v>434</v>
      </c>
      <c r="I142" s="397">
        <f t="shared" si="76"/>
        <v>434</v>
      </c>
      <c r="J142" s="397">
        <f t="shared" ref="J142:R142" si="83">I142</f>
        <v>434</v>
      </c>
      <c r="K142" s="397">
        <f t="shared" si="83"/>
        <v>434</v>
      </c>
      <c r="L142" s="397">
        <f t="shared" si="83"/>
        <v>434</v>
      </c>
      <c r="M142" s="397">
        <f t="shared" si="83"/>
        <v>434</v>
      </c>
      <c r="N142" s="397">
        <f t="shared" si="83"/>
        <v>434</v>
      </c>
      <c r="O142" s="397">
        <f t="shared" si="83"/>
        <v>434</v>
      </c>
      <c r="P142" s="397">
        <f t="shared" si="83"/>
        <v>434</v>
      </c>
      <c r="Q142" s="397">
        <f t="shared" si="83"/>
        <v>434</v>
      </c>
      <c r="R142" s="397">
        <f t="shared" si="83"/>
        <v>434</v>
      </c>
      <c r="S142" s="366">
        <f t="shared" si="78"/>
        <v>5208</v>
      </c>
    </row>
    <row r="143" spans="1:19">
      <c r="A143" s="206">
        <v>95</v>
      </c>
      <c r="B143" s="36"/>
      <c r="C143" s="9" t="s">
        <v>100</v>
      </c>
      <c r="D143" s="9"/>
      <c r="E143" s="18" t="s">
        <v>101</v>
      </c>
      <c r="F143" s="140" t="s">
        <v>221</v>
      </c>
      <c r="G143" s="365">
        <f>'Yr 1 Operating Statement of Act'!G145/12</f>
        <v>101.5</v>
      </c>
      <c r="H143" s="397">
        <f t="shared" si="76"/>
        <v>101.5</v>
      </c>
      <c r="I143" s="397">
        <f t="shared" si="76"/>
        <v>101.5</v>
      </c>
      <c r="J143" s="397">
        <f t="shared" ref="J143:R143" si="84">I143</f>
        <v>101.5</v>
      </c>
      <c r="K143" s="397">
        <f t="shared" si="84"/>
        <v>101.5</v>
      </c>
      <c r="L143" s="397">
        <f t="shared" si="84"/>
        <v>101.5</v>
      </c>
      <c r="M143" s="397">
        <f t="shared" si="84"/>
        <v>101.5</v>
      </c>
      <c r="N143" s="397">
        <f t="shared" si="84"/>
        <v>101.5</v>
      </c>
      <c r="O143" s="397">
        <f t="shared" si="84"/>
        <v>101.5</v>
      </c>
      <c r="P143" s="397">
        <f t="shared" si="84"/>
        <v>101.5</v>
      </c>
      <c r="Q143" s="397">
        <f t="shared" si="84"/>
        <v>101.5</v>
      </c>
      <c r="R143" s="397">
        <f t="shared" si="84"/>
        <v>101.5</v>
      </c>
      <c r="S143" s="366">
        <f t="shared" si="78"/>
        <v>1218</v>
      </c>
    </row>
    <row r="144" spans="1:19">
      <c r="A144" s="206">
        <v>96</v>
      </c>
      <c r="B144" s="36"/>
      <c r="C144" s="9" t="s">
        <v>219</v>
      </c>
      <c r="D144" s="9"/>
      <c r="E144" s="18" t="s">
        <v>220</v>
      </c>
      <c r="F144" s="140" t="s">
        <v>221</v>
      </c>
      <c r="G144" s="365">
        <f>'Yr 1 Operating Statement of Act'!G146/12</f>
        <v>140</v>
      </c>
      <c r="H144" s="397">
        <f t="shared" si="76"/>
        <v>140</v>
      </c>
      <c r="I144" s="397">
        <f t="shared" si="76"/>
        <v>140</v>
      </c>
      <c r="J144" s="397">
        <f t="shared" ref="J144:R144" si="85">I144</f>
        <v>140</v>
      </c>
      <c r="K144" s="397">
        <f t="shared" si="85"/>
        <v>140</v>
      </c>
      <c r="L144" s="397">
        <f t="shared" si="85"/>
        <v>140</v>
      </c>
      <c r="M144" s="397">
        <f t="shared" si="85"/>
        <v>140</v>
      </c>
      <c r="N144" s="397">
        <f t="shared" si="85"/>
        <v>140</v>
      </c>
      <c r="O144" s="397">
        <f t="shared" si="85"/>
        <v>140</v>
      </c>
      <c r="P144" s="397">
        <f t="shared" si="85"/>
        <v>140</v>
      </c>
      <c r="Q144" s="397">
        <f t="shared" si="85"/>
        <v>140</v>
      </c>
      <c r="R144" s="397">
        <f t="shared" si="85"/>
        <v>140</v>
      </c>
      <c r="S144" s="366">
        <f t="shared" si="78"/>
        <v>1680</v>
      </c>
    </row>
    <row r="145" spans="1:19">
      <c r="A145" s="206">
        <v>97</v>
      </c>
      <c r="B145" s="36"/>
      <c r="C145" s="9" t="s">
        <v>102</v>
      </c>
      <c r="D145" s="9"/>
      <c r="E145" s="18" t="s">
        <v>103</v>
      </c>
      <c r="F145" s="140" t="s">
        <v>221</v>
      </c>
      <c r="G145" s="365">
        <f>'Yr 1 Operating Statement of Act'!G147/12</f>
        <v>68.599999999999994</v>
      </c>
      <c r="H145" s="397">
        <f t="shared" si="76"/>
        <v>68.599999999999994</v>
      </c>
      <c r="I145" s="397">
        <f t="shared" si="76"/>
        <v>68.599999999999994</v>
      </c>
      <c r="J145" s="397">
        <f t="shared" ref="J145:R145" si="86">I145</f>
        <v>68.599999999999994</v>
      </c>
      <c r="K145" s="397">
        <f t="shared" si="86"/>
        <v>68.599999999999994</v>
      </c>
      <c r="L145" s="397">
        <f t="shared" si="86"/>
        <v>68.599999999999994</v>
      </c>
      <c r="M145" s="397">
        <f t="shared" si="86"/>
        <v>68.599999999999994</v>
      </c>
      <c r="N145" s="397">
        <f t="shared" si="86"/>
        <v>68.599999999999994</v>
      </c>
      <c r="O145" s="397">
        <f t="shared" si="86"/>
        <v>68.599999999999994</v>
      </c>
      <c r="P145" s="397">
        <f t="shared" si="86"/>
        <v>68.599999999999994</v>
      </c>
      <c r="Q145" s="397">
        <f t="shared" si="86"/>
        <v>68.599999999999994</v>
      </c>
      <c r="R145" s="397">
        <f t="shared" si="86"/>
        <v>68.599999999999994</v>
      </c>
      <c r="S145" s="366">
        <f t="shared" si="78"/>
        <v>823.20000000000016</v>
      </c>
    </row>
    <row r="146" spans="1:19">
      <c r="A146" s="206">
        <v>98</v>
      </c>
      <c r="B146" s="36"/>
      <c r="C146" s="9" t="s">
        <v>104</v>
      </c>
      <c r="D146" s="9"/>
      <c r="E146" s="18" t="s">
        <v>105</v>
      </c>
      <c r="F146" s="140" t="s">
        <v>221</v>
      </c>
      <c r="G146" s="365">
        <f>'Yr 1 Operating Statement of Act'!G148/12</f>
        <v>52.5</v>
      </c>
      <c r="H146" s="397">
        <f t="shared" si="76"/>
        <v>52.5</v>
      </c>
      <c r="I146" s="397">
        <f t="shared" si="76"/>
        <v>52.5</v>
      </c>
      <c r="J146" s="397">
        <f t="shared" ref="J146:R146" si="87">I146</f>
        <v>52.5</v>
      </c>
      <c r="K146" s="397">
        <f t="shared" si="87"/>
        <v>52.5</v>
      </c>
      <c r="L146" s="397">
        <f t="shared" si="87"/>
        <v>52.5</v>
      </c>
      <c r="M146" s="397">
        <f t="shared" si="87"/>
        <v>52.5</v>
      </c>
      <c r="N146" s="397">
        <f t="shared" si="87"/>
        <v>52.5</v>
      </c>
      <c r="O146" s="397">
        <f t="shared" si="87"/>
        <v>52.5</v>
      </c>
      <c r="P146" s="397">
        <f t="shared" si="87"/>
        <v>52.5</v>
      </c>
      <c r="Q146" s="397">
        <f t="shared" si="87"/>
        <v>52.5</v>
      </c>
      <c r="R146" s="397">
        <f t="shared" si="87"/>
        <v>52.5</v>
      </c>
      <c r="S146" s="366">
        <f t="shared" si="78"/>
        <v>630</v>
      </c>
    </row>
    <row r="147" spans="1:19">
      <c r="A147" s="206">
        <v>99</v>
      </c>
      <c r="B147" s="36"/>
      <c r="C147" s="85" t="s">
        <v>283</v>
      </c>
      <c r="D147" s="9"/>
      <c r="E147" s="18"/>
      <c r="F147" s="140"/>
      <c r="G147" s="365"/>
      <c r="H147" s="397"/>
      <c r="I147" s="397"/>
      <c r="J147" s="397"/>
      <c r="K147" s="397"/>
      <c r="L147" s="397"/>
      <c r="M147" s="397"/>
      <c r="N147" s="397"/>
      <c r="O147" s="397"/>
      <c r="P147" s="397"/>
      <c r="Q147" s="397"/>
      <c r="R147" s="366"/>
      <c r="S147" s="366">
        <f t="shared" si="78"/>
        <v>0</v>
      </c>
    </row>
    <row r="148" spans="1:19">
      <c r="A148" s="206">
        <v>100</v>
      </c>
      <c r="B148" s="36"/>
      <c r="C148" s="85"/>
      <c r="D148" s="9"/>
      <c r="E148" s="18"/>
      <c r="F148" s="140"/>
      <c r="G148" s="365"/>
      <c r="H148" s="397"/>
      <c r="I148" s="397"/>
      <c r="J148" s="397"/>
      <c r="K148" s="397"/>
      <c r="L148" s="397"/>
      <c r="M148" s="397"/>
      <c r="N148" s="397"/>
      <c r="O148" s="397"/>
      <c r="P148" s="397"/>
      <c r="Q148" s="397"/>
      <c r="R148" s="366"/>
      <c r="S148" s="366">
        <f t="shared" si="78"/>
        <v>0</v>
      </c>
    </row>
    <row r="149" spans="1:19">
      <c r="A149" s="206">
        <v>101</v>
      </c>
      <c r="B149" s="36"/>
      <c r="C149" s="85"/>
      <c r="D149" s="9"/>
      <c r="E149" s="18"/>
      <c r="F149" s="140"/>
      <c r="G149" s="365"/>
      <c r="H149" s="397"/>
      <c r="I149" s="397"/>
      <c r="J149" s="397"/>
      <c r="K149" s="397"/>
      <c r="L149" s="397"/>
      <c r="M149" s="397"/>
      <c r="N149" s="397"/>
      <c r="O149" s="397"/>
      <c r="P149" s="397"/>
      <c r="Q149" s="397"/>
      <c r="R149" s="366"/>
      <c r="S149" s="366">
        <f t="shared" si="78"/>
        <v>0</v>
      </c>
    </row>
    <row r="150" spans="1:19" ht="15.75" customHeight="1">
      <c r="A150" s="206">
        <v>102</v>
      </c>
      <c r="B150" s="83"/>
      <c r="E150" s="14"/>
      <c r="F150" s="148"/>
      <c r="G150" s="380"/>
      <c r="H150" s="405"/>
      <c r="I150" s="405"/>
      <c r="J150" s="405"/>
      <c r="K150" s="405"/>
      <c r="L150" s="405"/>
      <c r="M150" s="405"/>
      <c r="N150" s="405"/>
      <c r="O150" s="405"/>
      <c r="P150" s="405"/>
      <c r="Q150" s="405"/>
      <c r="R150" s="432"/>
      <c r="S150" s="366">
        <f t="shared" si="78"/>
        <v>0</v>
      </c>
    </row>
    <row r="151" spans="1:19" ht="15" thickBot="1">
      <c r="A151" s="207">
        <v>103</v>
      </c>
      <c r="B151" s="87" t="s">
        <v>19</v>
      </c>
      <c r="C151" s="51"/>
      <c r="D151" s="51"/>
      <c r="E151" s="49"/>
      <c r="F151" s="144"/>
      <c r="G151" s="384">
        <f t="shared" ref="G151:S151" si="88">SUM(G130:G150)</f>
        <v>5453.6</v>
      </c>
      <c r="H151" s="408">
        <f t="shared" si="88"/>
        <v>8953.6</v>
      </c>
      <c r="I151" s="408">
        <f t="shared" si="88"/>
        <v>8953.6</v>
      </c>
      <c r="J151" s="408">
        <f t="shared" si="88"/>
        <v>8953.6</v>
      </c>
      <c r="K151" s="408">
        <f t="shared" si="88"/>
        <v>8953.6</v>
      </c>
      <c r="L151" s="408">
        <f t="shared" si="88"/>
        <v>8953.6</v>
      </c>
      <c r="M151" s="408">
        <f t="shared" si="88"/>
        <v>8953.6</v>
      </c>
      <c r="N151" s="408">
        <f t="shared" si="88"/>
        <v>8953.6</v>
      </c>
      <c r="O151" s="408">
        <f t="shared" si="88"/>
        <v>8953.6</v>
      </c>
      <c r="P151" s="408">
        <f t="shared" si="88"/>
        <v>8953.6</v>
      </c>
      <c r="Q151" s="408">
        <f t="shared" si="88"/>
        <v>8953.6</v>
      </c>
      <c r="R151" s="428">
        <f t="shared" si="88"/>
        <v>8953.6</v>
      </c>
      <c r="S151" s="428">
        <f t="shared" si="88"/>
        <v>103943.2</v>
      </c>
    </row>
    <row r="152" spans="1:19" ht="15" thickBot="1">
      <c r="A152" s="210">
        <v>104</v>
      </c>
      <c r="B152" s="75" t="s">
        <v>24</v>
      </c>
      <c r="C152" s="76"/>
      <c r="D152" s="76"/>
      <c r="E152" s="45"/>
      <c r="F152" s="147"/>
      <c r="G152" s="387">
        <f t="shared" ref="G152:S152" si="89">G98+G125+G151</f>
        <v>84373.083966666672</v>
      </c>
      <c r="H152" s="410">
        <f t="shared" si="89"/>
        <v>146807.4173</v>
      </c>
      <c r="I152" s="410">
        <f t="shared" si="89"/>
        <v>146807.4173</v>
      </c>
      <c r="J152" s="410">
        <f t="shared" si="89"/>
        <v>146807.4173</v>
      </c>
      <c r="K152" s="410">
        <f t="shared" si="89"/>
        <v>146807.4173</v>
      </c>
      <c r="L152" s="410">
        <f t="shared" si="89"/>
        <v>146807.4173</v>
      </c>
      <c r="M152" s="410">
        <f t="shared" si="89"/>
        <v>146807.4173</v>
      </c>
      <c r="N152" s="410">
        <f t="shared" si="89"/>
        <v>146807.4173</v>
      </c>
      <c r="O152" s="410">
        <f t="shared" si="89"/>
        <v>146807.4173</v>
      </c>
      <c r="P152" s="410">
        <f t="shared" si="89"/>
        <v>146807.4173</v>
      </c>
      <c r="Q152" s="410">
        <f t="shared" si="89"/>
        <v>146807.4173</v>
      </c>
      <c r="R152" s="431">
        <f t="shared" si="89"/>
        <v>146807.4173</v>
      </c>
      <c r="S152" s="431">
        <f t="shared" si="89"/>
        <v>1699254.6742666666</v>
      </c>
    </row>
    <row r="153" spans="1:19" ht="4.5" customHeight="1">
      <c r="A153" s="211"/>
      <c r="B153" s="35"/>
      <c r="C153" s="12"/>
      <c r="D153" s="12"/>
      <c r="E153" s="16"/>
      <c r="F153" s="152"/>
      <c r="G153" s="388"/>
      <c r="H153" s="411"/>
      <c r="I153" s="411"/>
      <c r="J153" s="411"/>
      <c r="K153" s="411"/>
      <c r="L153" s="411"/>
      <c r="M153" s="411"/>
      <c r="N153" s="411"/>
      <c r="O153" s="411"/>
      <c r="P153" s="411"/>
      <c r="Q153" s="411"/>
      <c r="R153" s="436"/>
      <c r="S153" s="436"/>
    </row>
    <row r="154" spans="1:19" s="4" customFormat="1">
      <c r="A154" s="206"/>
      <c r="B154" s="52" t="s">
        <v>22</v>
      </c>
      <c r="C154" s="53"/>
      <c r="D154" s="53"/>
      <c r="E154" s="61"/>
      <c r="F154" s="139"/>
      <c r="G154" s="383"/>
      <c r="H154" s="400"/>
      <c r="I154" s="400"/>
      <c r="J154" s="400"/>
      <c r="K154" s="400"/>
      <c r="L154" s="400"/>
      <c r="M154" s="400"/>
      <c r="N154" s="400"/>
      <c r="O154" s="400"/>
      <c r="P154" s="400"/>
      <c r="Q154" s="400"/>
      <c r="R154" s="425"/>
      <c r="S154" s="425"/>
    </row>
    <row r="155" spans="1:19" s="4" customFormat="1">
      <c r="A155" s="206"/>
      <c r="B155" s="88" t="s">
        <v>23</v>
      </c>
      <c r="C155" s="53"/>
      <c r="D155" s="53"/>
      <c r="E155" s="61"/>
      <c r="F155" s="139"/>
      <c r="G155" s="383"/>
      <c r="H155" s="400"/>
      <c r="I155" s="400"/>
      <c r="J155" s="400"/>
      <c r="K155" s="400"/>
      <c r="L155" s="400"/>
      <c r="M155" s="400"/>
      <c r="N155" s="400"/>
      <c r="O155" s="400"/>
      <c r="P155" s="400"/>
      <c r="Q155" s="400"/>
      <c r="R155" s="425"/>
      <c r="S155" s="425"/>
    </row>
    <row r="156" spans="1:19">
      <c r="A156" s="206">
        <v>105</v>
      </c>
      <c r="B156" s="36"/>
      <c r="C156" s="9" t="s">
        <v>281</v>
      </c>
      <c r="D156" s="9"/>
      <c r="E156" s="18" t="s">
        <v>221</v>
      </c>
      <c r="F156" s="140" t="s">
        <v>240</v>
      </c>
      <c r="G156" s="365">
        <f>'Yr 1 Operating Statement of Act'!G158/12</f>
        <v>4333.333333333333</v>
      </c>
      <c r="H156" s="397">
        <f t="shared" ref="H156:I165" si="90">G156</f>
        <v>4333.333333333333</v>
      </c>
      <c r="I156" s="397">
        <f t="shared" si="90"/>
        <v>4333.333333333333</v>
      </c>
      <c r="J156" s="397">
        <f t="shared" ref="J156:R156" si="91">I156</f>
        <v>4333.333333333333</v>
      </c>
      <c r="K156" s="397">
        <f t="shared" si="91"/>
        <v>4333.333333333333</v>
      </c>
      <c r="L156" s="397">
        <f t="shared" si="91"/>
        <v>4333.333333333333</v>
      </c>
      <c r="M156" s="397">
        <f t="shared" si="91"/>
        <v>4333.333333333333</v>
      </c>
      <c r="N156" s="397">
        <f t="shared" si="91"/>
        <v>4333.333333333333</v>
      </c>
      <c r="O156" s="397">
        <f t="shared" si="91"/>
        <v>4333.333333333333</v>
      </c>
      <c r="P156" s="397">
        <f t="shared" si="91"/>
        <v>4333.333333333333</v>
      </c>
      <c r="Q156" s="397">
        <f t="shared" si="91"/>
        <v>4333.333333333333</v>
      </c>
      <c r="R156" s="397">
        <f t="shared" si="91"/>
        <v>4333.333333333333</v>
      </c>
      <c r="S156" s="366">
        <f t="shared" ref="S156:S168" si="92">SUM(G156:R156)</f>
        <v>52000.000000000007</v>
      </c>
    </row>
    <row r="157" spans="1:19">
      <c r="A157" s="206">
        <v>106</v>
      </c>
      <c r="B157" s="36"/>
      <c r="C157" s="9" t="s">
        <v>8</v>
      </c>
      <c r="D157" s="9"/>
      <c r="E157" s="18" t="s">
        <v>221</v>
      </c>
      <c r="F157" s="140" t="s">
        <v>240</v>
      </c>
      <c r="G157" s="365">
        <f>'Yr 1 Operating Statement of Act'!G159/12</f>
        <v>4583.333333333333</v>
      </c>
      <c r="H157" s="397">
        <f t="shared" si="90"/>
        <v>4583.333333333333</v>
      </c>
      <c r="I157" s="397">
        <f t="shared" si="90"/>
        <v>4583.333333333333</v>
      </c>
      <c r="J157" s="397">
        <f t="shared" ref="J157:R157" si="93">I157</f>
        <v>4583.333333333333</v>
      </c>
      <c r="K157" s="397">
        <f t="shared" si="93"/>
        <v>4583.333333333333</v>
      </c>
      <c r="L157" s="397">
        <f t="shared" si="93"/>
        <v>4583.333333333333</v>
      </c>
      <c r="M157" s="397">
        <f t="shared" si="93"/>
        <v>4583.333333333333</v>
      </c>
      <c r="N157" s="397">
        <f t="shared" si="93"/>
        <v>4583.333333333333</v>
      </c>
      <c r="O157" s="397">
        <f t="shared" si="93"/>
        <v>4583.333333333333</v>
      </c>
      <c r="P157" s="397">
        <f t="shared" si="93"/>
        <v>4583.333333333333</v>
      </c>
      <c r="Q157" s="397">
        <f t="shared" si="93"/>
        <v>4583.333333333333</v>
      </c>
      <c r="R157" s="397">
        <f t="shared" si="93"/>
        <v>4583.333333333333</v>
      </c>
      <c r="S157" s="366">
        <f t="shared" si="92"/>
        <v>55000.000000000007</v>
      </c>
    </row>
    <row r="158" spans="1:19">
      <c r="A158" s="206">
        <v>107</v>
      </c>
      <c r="B158" s="36"/>
      <c r="C158" s="9" t="s">
        <v>282</v>
      </c>
      <c r="D158" s="9"/>
      <c r="E158" s="18" t="s">
        <v>221</v>
      </c>
      <c r="F158" s="140" t="s">
        <v>240</v>
      </c>
      <c r="G158" s="365">
        <f>'Yr 1 Operating Statement of Act'!G160/12</f>
        <v>4675.5</v>
      </c>
      <c r="H158" s="397">
        <f t="shared" si="90"/>
        <v>4675.5</v>
      </c>
      <c r="I158" s="397">
        <f t="shared" si="90"/>
        <v>4675.5</v>
      </c>
      <c r="J158" s="397">
        <f t="shared" ref="J158:R158" si="94">I158</f>
        <v>4675.5</v>
      </c>
      <c r="K158" s="397">
        <f t="shared" si="94"/>
        <v>4675.5</v>
      </c>
      <c r="L158" s="397">
        <f t="shared" si="94"/>
        <v>4675.5</v>
      </c>
      <c r="M158" s="397">
        <f t="shared" si="94"/>
        <v>4675.5</v>
      </c>
      <c r="N158" s="397">
        <f t="shared" si="94"/>
        <v>4675.5</v>
      </c>
      <c r="O158" s="397">
        <f t="shared" si="94"/>
        <v>4675.5</v>
      </c>
      <c r="P158" s="397">
        <f t="shared" si="94"/>
        <v>4675.5</v>
      </c>
      <c r="Q158" s="397">
        <f t="shared" si="94"/>
        <v>4675.5</v>
      </c>
      <c r="R158" s="397">
        <f t="shared" si="94"/>
        <v>4675.5</v>
      </c>
      <c r="S158" s="366">
        <f t="shared" si="92"/>
        <v>56106</v>
      </c>
    </row>
    <row r="159" spans="1:19">
      <c r="A159" s="206">
        <v>108</v>
      </c>
      <c r="B159" s="36"/>
      <c r="C159" s="9" t="s">
        <v>120</v>
      </c>
      <c r="D159" s="9"/>
      <c r="E159" s="18" t="s">
        <v>221</v>
      </c>
      <c r="F159" s="140" t="s">
        <v>240</v>
      </c>
      <c r="G159" s="365">
        <f>'Yr 1 Operating Statement of Act'!G161/12</f>
        <v>5984.333333333333</v>
      </c>
      <c r="H159" s="397">
        <f t="shared" si="90"/>
        <v>5984.333333333333</v>
      </c>
      <c r="I159" s="397">
        <f t="shared" si="90"/>
        <v>5984.333333333333</v>
      </c>
      <c r="J159" s="397">
        <f t="shared" ref="J159:R159" si="95">I159</f>
        <v>5984.333333333333</v>
      </c>
      <c r="K159" s="397">
        <f t="shared" si="95"/>
        <v>5984.333333333333</v>
      </c>
      <c r="L159" s="397">
        <f t="shared" si="95"/>
        <v>5984.333333333333</v>
      </c>
      <c r="M159" s="397">
        <f t="shared" si="95"/>
        <v>5984.333333333333</v>
      </c>
      <c r="N159" s="397">
        <f t="shared" si="95"/>
        <v>5984.333333333333</v>
      </c>
      <c r="O159" s="397">
        <f t="shared" si="95"/>
        <v>5984.333333333333</v>
      </c>
      <c r="P159" s="397">
        <f t="shared" si="95"/>
        <v>5984.333333333333</v>
      </c>
      <c r="Q159" s="397">
        <f t="shared" si="95"/>
        <v>5984.333333333333</v>
      </c>
      <c r="R159" s="397">
        <f t="shared" si="95"/>
        <v>5984.333333333333</v>
      </c>
      <c r="S159" s="366">
        <f t="shared" si="92"/>
        <v>71812</v>
      </c>
    </row>
    <row r="160" spans="1:19">
      <c r="A160" s="206">
        <v>109</v>
      </c>
      <c r="B160" s="36"/>
      <c r="C160" s="9" t="s">
        <v>295</v>
      </c>
      <c r="D160" s="9"/>
      <c r="E160" s="18" t="s">
        <v>97</v>
      </c>
      <c r="F160" s="140" t="s">
        <v>240</v>
      </c>
      <c r="G160" s="365">
        <f>'Yr 1 Operating Statement of Act'!G162/12</f>
        <v>1294.6666666666667</v>
      </c>
      <c r="H160" s="397">
        <f t="shared" si="90"/>
        <v>1294.6666666666667</v>
      </c>
      <c r="I160" s="397">
        <f t="shared" si="90"/>
        <v>1294.6666666666667</v>
      </c>
      <c r="J160" s="397">
        <f t="shared" ref="J160:R160" si="96">I160</f>
        <v>1294.6666666666667</v>
      </c>
      <c r="K160" s="397">
        <f t="shared" si="96"/>
        <v>1294.6666666666667</v>
      </c>
      <c r="L160" s="397">
        <f t="shared" si="96"/>
        <v>1294.6666666666667</v>
      </c>
      <c r="M160" s="397">
        <f t="shared" si="96"/>
        <v>1294.6666666666667</v>
      </c>
      <c r="N160" s="397">
        <f t="shared" si="96"/>
        <v>1294.6666666666667</v>
      </c>
      <c r="O160" s="397">
        <f t="shared" si="96"/>
        <v>1294.6666666666667</v>
      </c>
      <c r="P160" s="397">
        <f t="shared" si="96"/>
        <v>1294.6666666666667</v>
      </c>
      <c r="Q160" s="397">
        <f t="shared" si="96"/>
        <v>1294.6666666666667</v>
      </c>
      <c r="R160" s="397">
        <f t="shared" si="96"/>
        <v>1294.6666666666667</v>
      </c>
      <c r="S160" s="366">
        <f t="shared" si="92"/>
        <v>15535.999999999998</v>
      </c>
    </row>
    <row r="161" spans="1:19">
      <c r="A161" s="206">
        <v>110</v>
      </c>
      <c r="B161" s="36"/>
      <c r="C161" s="9" t="s">
        <v>98</v>
      </c>
      <c r="D161" s="9"/>
      <c r="E161" s="18" t="s">
        <v>99</v>
      </c>
      <c r="F161" s="140" t="s">
        <v>240</v>
      </c>
      <c r="G161" s="365">
        <f>'Yr 1 Operating Statement of Act'!G163/12</f>
        <v>1213.7429999999999</v>
      </c>
      <c r="H161" s="397">
        <f t="shared" si="90"/>
        <v>1213.7429999999999</v>
      </c>
      <c r="I161" s="397">
        <f t="shared" si="90"/>
        <v>1213.7429999999999</v>
      </c>
      <c r="J161" s="397">
        <f t="shared" ref="J161:R161" si="97">I161</f>
        <v>1213.7429999999999</v>
      </c>
      <c r="K161" s="397">
        <f t="shared" si="97"/>
        <v>1213.7429999999999</v>
      </c>
      <c r="L161" s="397">
        <f t="shared" si="97"/>
        <v>1213.7429999999999</v>
      </c>
      <c r="M161" s="397">
        <f t="shared" si="97"/>
        <v>1213.7429999999999</v>
      </c>
      <c r="N161" s="397">
        <f t="shared" si="97"/>
        <v>1213.7429999999999</v>
      </c>
      <c r="O161" s="397">
        <f t="shared" si="97"/>
        <v>1213.7429999999999</v>
      </c>
      <c r="P161" s="397">
        <f t="shared" si="97"/>
        <v>1213.7429999999999</v>
      </c>
      <c r="Q161" s="397">
        <f t="shared" si="97"/>
        <v>1213.7429999999999</v>
      </c>
      <c r="R161" s="397">
        <f t="shared" si="97"/>
        <v>1213.7429999999999</v>
      </c>
      <c r="S161" s="366">
        <f t="shared" si="92"/>
        <v>14564.916000000003</v>
      </c>
    </row>
    <row r="162" spans="1:19">
      <c r="A162" s="206">
        <v>111</v>
      </c>
      <c r="B162" s="36"/>
      <c r="C162" s="9" t="s">
        <v>100</v>
      </c>
      <c r="D162" s="9"/>
      <c r="E162" s="18" t="s">
        <v>101</v>
      </c>
      <c r="F162" s="140" t="s">
        <v>240</v>
      </c>
      <c r="G162" s="365">
        <f>'Yr 1 Operating Statement of Act'!G164/12</f>
        <v>283.85925000000003</v>
      </c>
      <c r="H162" s="397">
        <f t="shared" si="90"/>
        <v>283.85925000000003</v>
      </c>
      <c r="I162" s="397">
        <f t="shared" si="90"/>
        <v>283.85925000000003</v>
      </c>
      <c r="J162" s="397">
        <f t="shared" ref="J162:R162" si="98">I162</f>
        <v>283.85925000000003</v>
      </c>
      <c r="K162" s="397">
        <f t="shared" si="98"/>
        <v>283.85925000000003</v>
      </c>
      <c r="L162" s="397">
        <f t="shared" si="98"/>
        <v>283.85925000000003</v>
      </c>
      <c r="M162" s="397">
        <f t="shared" si="98"/>
        <v>283.85925000000003</v>
      </c>
      <c r="N162" s="397">
        <f t="shared" si="98"/>
        <v>283.85925000000003</v>
      </c>
      <c r="O162" s="397">
        <f t="shared" si="98"/>
        <v>283.85925000000003</v>
      </c>
      <c r="P162" s="397">
        <f t="shared" si="98"/>
        <v>283.85925000000003</v>
      </c>
      <c r="Q162" s="397">
        <f t="shared" si="98"/>
        <v>283.85925000000003</v>
      </c>
      <c r="R162" s="397">
        <f t="shared" si="98"/>
        <v>283.85925000000003</v>
      </c>
      <c r="S162" s="366">
        <f t="shared" si="92"/>
        <v>3406.3110000000001</v>
      </c>
    </row>
    <row r="163" spans="1:19">
      <c r="A163" s="206">
        <v>112</v>
      </c>
      <c r="B163" s="36"/>
      <c r="C163" s="9" t="s">
        <v>219</v>
      </c>
      <c r="D163" s="9"/>
      <c r="E163" s="18" t="s">
        <v>220</v>
      </c>
      <c r="F163" s="140" t="s">
        <v>240</v>
      </c>
      <c r="G163" s="365">
        <f>'Yr 1 Operating Statement of Act'!G165/12</f>
        <v>391.53</v>
      </c>
      <c r="H163" s="397">
        <f t="shared" si="90"/>
        <v>391.53</v>
      </c>
      <c r="I163" s="397">
        <f t="shared" si="90"/>
        <v>391.53</v>
      </c>
      <c r="J163" s="397">
        <f t="shared" ref="J163:R163" si="99">I163</f>
        <v>391.53</v>
      </c>
      <c r="K163" s="397">
        <f t="shared" si="99"/>
        <v>391.53</v>
      </c>
      <c r="L163" s="397">
        <f t="shared" si="99"/>
        <v>391.53</v>
      </c>
      <c r="M163" s="397">
        <f t="shared" si="99"/>
        <v>391.53</v>
      </c>
      <c r="N163" s="397">
        <f t="shared" si="99"/>
        <v>391.53</v>
      </c>
      <c r="O163" s="397">
        <f t="shared" si="99"/>
        <v>391.53</v>
      </c>
      <c r="P163" s="397">
        <f t="shared" si="99"/>
        <v>391.53</v>
      </c>
      <c r="Q163" s="397">
        <f t="shared" si="99"/>
        <v>391.53</v>
      </c>
      <c r="R163" s="397">
        <f t="shared" si="99"/>
        <v>391.53</v>
      </c>
      <c r="S163" s="366">
        <f t="shared" si="92"/>
        <v>4698.3599999999988</v>
      </c>
    </row>
    <row r="164" spans="1:19">
      <c r="A164" s="206">
        <v>113</v>
      </c>
      <c r="B164" s="36"/>
      <c r="C164" s="9" t="s">
        <v>102</v>
      </c>
      <c r="D164" s="9"/>
      <c r="E164" s="18" t="s">
        <v>103</v>
      </c>
      <c r="F164" s="140" t="s">
        <v>240</v>
      </c>
      <c r="G164" s="365">
        <f>'Yr 1 Operating Statement of Act'!G166/12</f>
        <v>191.84969999999998</v>
      </c>
      <c r="H164" s="397">
        <f t="shared" si="90"/>
        <v>191.84969999999998</v>
      </c>
      <c r="I164" s="397">
        <f t="shared" si="90"/>
        <v>191.84969999999998</v>
      </c>
      <c r="J164" s="397">
        <f t="shared" ref="J164:R164" si="100">I164</f>
        <v>191.84969999999998</v>
      </c>
      <c r="K164" s="397">
        <f t="shared" si="100"/>
        <v>191.84969999999998</v>
      </c>
      <c r="L164" s="397">
        <f t="shared" si="100"/>
        <v>191.84969999999998</v>
      </c>
      <c r="M164" s="397">
        <f t="shared" si="100"/>
        <v>191.84969999999998</v>
      </c>
      <c r="N164" s="397">
        <f t="shared" si="100"/>
        <v>191.84969999999998</v>
      </c>
      <c r="O164" s="397">
        <f t="shared" si="100"/>
        <v>191.84969999999998</v>
      </c>
      <c r="P164" s="397">
        <f t="shared" si="100"/>
        <v>191.84969999999998</v>
      </c>
      <c r="Q164" s="397">
        <f t="shared" si="100"/>
        <v>191.84969999999998</v>
      </c>
      <c r="R164" s="397">
        <f t="shared" si="100"/>
        <v>191.84969999999998</v>
      </c>
      <c r="S164" s="366">
        <f t="shared" si="92"/>
        <v>2302.1963999999998</v>
      </c>
    </row>
    <row r="165" spans="1:19">
      <c r="A165" s="206">
        <v>114</v>
      </c>
      <c r="B165" s="36"/>
      <c r="C165" s="9" t="s">
        <v>104</v>
      </c>
      <c r="D165" s="9"/>
      <c r="E165" s="18" t="s">
        <v>105</v>
      </c>
      <c r="F165" s="140" t="s">
        <v>240</v>
      </c>
      <c r="G165" s="365">
        <f>'Yr 1 Operating Statement of Act'!G167/12</f>
        <v>146.82374999999999</v>
      </c>
      <c r="H165" s="397">
        <f t="shared" si="90"/>
        <v>146.82374999999999</v>
      </c>
      <c r="I165" s="397">
        <f t="shared" si="90"/>
        <v>146.82374999999999</v>
      </c>
      <c r="J165" s="397">
        <f t="shared" ref="J165:R165" si="101">I165</f>
        <v>146.82374999999999</v>
      </c>
      <c r="K165" s="397">
        <f t="shared" si="101"/>
        <v>146.82374999999999</v>
      </c>
      <c r="L165" s="397">
        <f t="shared" si="101"/>
        <v>146.82374999999999</v>
      </c>
      <c r="M165" s="397">
        <f t="shared" si="101"/>
        <v>146.82374999999999</v>
      </c>
      <c r="N165" s="397">
        <f t="shared" si="101"/>
        <v>146.82374999999999</v>
      </c>
      <c r="O165" s="397">
        <f t="shared" si="101"/>
        <v>146.82374999999999</v>
      </c>
      <c r="P165" s="397">
        <f t="shared" si="101"/>
        <v>146.82374999999999</v>
      </c>
      <c r="Q165" s="397">
        <f t="shared" si="101"/>
        <v>146.82374999999999</v>
      </c>
      <c r="R165" s="397">
        <f t="shared" si="101"/>
        <v>146.82374999999999</v>
      </c>
      <c r="S165" s="366">
        <f t="shared" si="92"/>
        <v>1761.885</v>
      </c>
    </row>
    <row r="166" spans="1:19">
      <c r="A166" s="206">
        <v>115</v>
      </c>
      <c r="B166" s="36"/>
      <c r="C166" s="85" t="s">
        <v>283</v>
      </c>
      <c r="D166" s="9"/>
      <c r="E166" s="18"/>
      <c r="F166" s="140"/>
      <c r="G166" s="365"/>
      <c r="H166" s="397"/>
      <c r="I166" s="397"/>
      <c r="J166" s="397"/>
      <c r="K166" s="397"/>
      <c r="L166" s="397"/>
      <c r="M166" s="397"/>
      <c r="N166" s="397"/>
      <c r="O166" s="397"/>
      <c r="P166" s="397"/>
      <c r="Q166" s="397"/>
      <c r="R166" s="366"/>
      <c r="S166" s="366">
        <f t="shared" si="92"/>
        <v>0</v>
      </c>
    </row>
    <row r="167" spans="1:19">
      <c r="A167" s="206">
        <v>116</v>
      </c>
      <c r="B167" s="36"/>
      <c r="C167" s="85"/>
      <c r="D167" s="9"/>
      <c r="E167" s="18"/>
      <c r="F167" s="140"/>
      <c r="G167" s="365"/>
      <c r="H167" s="397"/>
      <c r="I167" s="397"/>
      <c r="J167" s="397"/>
      <c r="K167" s="397"/>
      <c r="L167" s="397"/>
      <c r="M167" s="397"/>
      <c r="N167" s="397"/>
      <c r="O167" s="397"/>
      <c r="P167" s="397"/>
      <c r="Q167" s="397"/>
      <c r="R167" s="366"/>
      <c r="S167" s="366">
        <f t="shared" si="92"/>
        <v>0</v>
      </c>
    </row>
    <row r="168" spans="1:19">
      <c r="A168" s="206">
        <v>117</v>
      </c>
      <c r="B168" s="83"/>
      <c r="C168" s="84"/>
      <c r="D168" s="13"/>
      <c r="E168" s="14"/>
      <c r="F168" s="148"/>
      <c r="G168" s="380"/>
      <c r="H168" s="405"/>
      <c r="I168" s="405"/>
      <c r="J168" s="405"/>
      <c r="K168" s="405"/>
      <c r="L168" s="405"/>
      <c r="M168" s="405"/>
      <c r="N168" s="405"/>
      <c r="O168" s="405"/>
      <c r="P168" s="405"/>
      <c r="Q168" s="405"/>
      <c r="R168" s="432"/>
      <c r="S168" s="366">
        <f t="shared" si="92"/>
        <v>0</v>
      </c>
    </row>
    <row r="169" spans="1:19">
      <c r="A169" s="207">
        <v>118</v>
      </c>
      <c r="B169" s="87" t="s">
        <v>121</v>
      </c>
      <c r="C169" s="51"/>
      <c r="D169" s="51"/>
      <c r="E169" s="49"/>
      <c r="F169" s="144"/>
      <c r="G169" s="384">
        <f t="shared" ref="G169:S169" si="102">SUM(G156:G168)</f>
        <v>23098.972366666665</v>
      </c>
      <c r="H169" s="408">
        <f t="shared" si="102"/>
        <v>23098.972366666665</v>
      </c>
      <c r="I169" s="408">
        <f t="shared" si="102"/>
        <v>23098.972366666665</v>
      </c>
      <c r="J169" s="408">
        <f t="shared" si="102"/>
        <v>23098.972366666665</v>
      </c>
      <c r="K169" s="408">
        <f t="shared" si="102"/>
        <v>23098.972366666665</v>
      </c>
      <c r="L169" s="408">
        <f t="shared" si="102"/>
        <v>23098.972366666665</v>
      </c>
      <c r="M169" s="408">
        <f t="shared" si="102"/>
        <v>23098.972366666665</v>
      </c>
      <c r="N169" s="408">
        <f t="shared" si="102"/>
        <v>23098.972366666665</v>
      </c>
      <c r="O169" s="408">
        <f t="shared" si="102"/>
        <v>23098.972366666665</v>
      </c>
      <c r="P169" s="408">
        <f t="shared" si="102"/>
        <v>23098.972366666665</v>
      </c>
      <c r="Q169" s="408">
        <f t="shared" si="102"/>
        <v>23098.972366666665</v>
      </c>
      <c r="R169" s="428">
        <f t="shared" si="102"/>
        <v>23098.972366666665</v>
      </c>
      <c r="S169" s="428">
        <f t="shared" si="102"/>
        <v>277187.66840000002</v>
      </c>
    </row>
    <row r="170" spans="1:19" ht="9" customHeight="1">
      <c r="A170" s="211"/>
      <c r="B170" s="35"/>
      <c r="C170" s="12"/>
      <c r="D170" s="12"/>
      <c r="E170" s="16"/>
      <c r="F170" s="152"/>
      <c r="G170" s="388"/>
      <c r="H170" s="411"/>
      <c r="I170" s="411"/>
      <c r="J170" s="411"/>
      <c r="K170" s="411"/>
      <c r="L170" s="411"/>
      <c r="M170" s="411"/>
      <c r="N170" s="411"/>
      <c r="O170" s="411"/>
      <c r="P170" s="411"/>
      <c r="Q170" s="411"/>
      <c r="R170" s="436"/>
      <c r="S170" s="436"/>
    </row>
    <row r="171" spans="1:19" s="4" customFormat="1">
      <c r="A171" s="206"/>
      <c r="B171" s="88" t="s">
        <v>25</v>
      </c>
      <c r="C171" s="53"/>
      <c r="D171" s="53"/>
      <c r="E171" s="61"/>
      <c r="F171" s="139"/>
      <c r="G171" s="383"/>
      <c r="H171" s="400"/>
      <c r="I171" s="400"/>
      <c r="J171" s="400"/>
      <c r="K171" s="400"/>
      <c r="L171" s="400"/>
      <c r="M171" s="400"/>
      <c r="N171" s="400"/>
      <c r="O171" s="400"/>
      <c r="P171" s="400"/>
      <c r="Q171" s="400"/>
      <c r="R171" s="425"/>
      <c r="S171" s="425"/>
    </row>
    <row r="172" spans="1:19">
      <c r="A172" s="206">
        <v>119</v>
      </c>
      <c r="B172" s="36"/>
      <c r="C172" s="9" t="s">
        <v>241</v>
      </c>
      <c r="D172" s="9"/>
      <c r="E172" s="18">
        <v>111</v>
      </c>
      <c r="F172" s="140" t="s">
        <v>265</v>
      </c>
      <c r="G172" s="365">
        <f>'Yr 1 Operating Statement of Act'!G174/12</f>
        <v>7250</v>
      </c>
      <c r="H172" s="397">
        <f t="shared" ref="H172:I182" si="103">G172</f>
        <v>7250</v>
      </c>
      <c r="I172" s="397">
        <f t="shared" si="103"/>
        <v>7250</v>
      </c>
      <c r="J172" s="397">
        <f t="shared" ref="J172:R172" si="104">I172</f>
        <v>7250</v>
      </c>
      <c r="K172" s="397">
        <f t="shared" si="104"/>
        <v>7250</v>
      </c>
      <c r="L172" s="397">
        <f t="shared" si="104"/>
        <v>7250</v>
      </c>
      <c r="M172" s="397">
        <f t="shared" si="104"/>
        <v>7250</v>
      </c>
      <c r="N172" s="397">
        <f t="shared" si="104"/>
        <v>7250</v>
      </c>
      <c r="O172" s="397">
        <f t="shared" si="104"/>
        <v>7250</v>
      </c>
      <c r="P172" s="397">
        <f t="shared" si="104"/>
        <v>7250</v>
      </c>
      <c r="Q172" s="397">
        <f t="shared" si="104"/>
        <v>7250</v>
      </c>
      <c r="R172" s="397">
        <f t="shared" si="104"/>
        <v>7250</v>
      </c>
      <c r="S172" s="366">
        <f t="shared" ref="S172:S185" si="105">SUM(G172:R172)</f>
        <v>87000</v>
      </c>
    </row>
    <row r="173" spans="1:19">
      <c r="A173" s="206">
        <v>120</v>
      </c>
      <c r="B173" s="36"/>
      <c r="C173" s="9" t="s">
        <v>122</v>
      </c>
      <c r="D173" s="9"/>
      <c r="E173" s="18" t="s">
        <v>221</v>
      </c>
      <c r="F173" s="140" t="s">
        <v>265</v>
      </c>
      <c r="G173" s="365">
        <f>'Yr 1 Operating Statement of Act'!G175/12</f>
        <v>8750</v>
      </c>
      <c r="H173" s="397">
        <f t="shared" si="103"/>
        <v>8750</v>
      </c>
      <c r="I173" s="397">
        <f t="shared" si="103"/>
        <v>8750</v>
      </c>
      <c r="J173" s="397">
        <f t="shared" ref="J173:R173" si="106">I173</f>
        <v>8750</v>
      </c>
      <c r="K173" s="397">
        <f t="shared" si="106"/>
        <v>8750</v>
      </c>
      <c r="L173" s="397">
        <f t="shared" si="106"/>
        <v>8750</v>
      </c>
      <c r="M173" s="397">
        <f t="shared" si="106"/>
        <v>8750</v>
      </c>
      <c r="N173" s="397">
        <f t="shared" si="106"/>
        <v>8750</v>
      </c>
      <c r="O173" s="397">
        <f t="shared" si="106"/>
        <v>8750</v>
      </c>
      <c r="P173" s="397">
        <f t="shared" si="106"/>
        <v>8750</v>
      </c>
      <c r="Q173" s="397">
        <f t="shared" si="106"/>
        <v>8750</v>
      </c>
      <c r="R173" s="397">
        <f t="shared" si="106"/>
        <v>8750</v>
      </c>
      <c r="S173" s="366">
        <f t="shared" si="105"/>
        <v>105000</v>
      </c>
    </row>
    <row r="174" spans="1:19">
      <c r="A174" s="206">
        <v>121</v>
      </c>
      <c r="B174" s="36"/>
      <c r="C174" s="9" t="s">
        <v>266</v>
      </c>
      <c r="D174" s="9"/>
      <c r="E174" s="18" t="s">
        <v>224</v>
      </c>
      <c r="F174" s="140" t="s">
        <v>265</v>
      </c>
      <c r="G174" s="365">
        <f>'Yr 1 Operating Statement of Act'!G176/12</f>
        <v>0</v>
      </c>
      <c r="H174" s="397">
        <f t="shared" si="103"/>
        <v>0</v>
      </c>
      <c r="I174" s="397">
        <f t="shared" si="103"/>
        <v>0</v>
      </c>
      <c r="J174" s="397">
        <f t="shared" ref="J174:R174" si="107">I174</f>
        <v>0</v>
      </c>
      <c r="K174" s="397">
        <f t="shared" si="107"/>
        <v>0</v>
      </c>
      <c r="L174" s="397">
        <f t="shared" si="107"/>
        <v>0</v>
      </c>
      <c r="M174" s="397">
        <f t="shared" si="107"/>
        <v>0</v>
      </c>
      <c r="N174" s="397">
        <f t="shared" si="107"/>
        <v>0</v>
      </c>
      <c r="O174" s="397">
        <f t="shared" si="107"/>
        <v>0</v>
      </c>
      <c r="P174" s="397">
        <f t="shared" si="107"/>
        <v>0</v>
      </c>
      <c r="Q174" s="397">
        <f t="shared" si="107"/>
        <v>0</v>
      </c>
      <c r="R174" s="397">
        <f t="shared" si="107"/>
        <v>0</v>
      </c>
      <c r="S174" s="366">
        <f t="shared" si="105"/>
        <v>0</v>
      </c>
    </row>
    <row r="175" spans="1:19">
      <c r="A175" s="206">
        <v>122</v>
      </c>
      <c r="B175" s="36"/>
      <c r="C175" s="9" t="s">
        <v>123</v>
      </c>
      <c r="D175" s="9"/>
      <c r="E175" s="18" t="s">
        <v>221</v>
      </c>
      <c r="F175" s="140">
        <v>2230</v>
      </c>
      <c r="G175" s="365">
        <f>'Yr 1 Operating Statement of Act'!G177/12</f>
        <v>0</v>
      </c>
      <c r="H175" s="397">
        <f t="shared" si="103"/>
        <v>0</v>
      </c>
      <c r="I175" s="397">
        <f t="shared" si="103"/>
        <v>0</v>
      </c>
      <c r="J175" s="397">
        <f t="shared" ref="J175:R175" si="108">I175</f>
        <v>0</v>
      </c>
      <c r="K175" s="397">
        <f t="shared" si="108"/>
        <v>0</v>
      </c>
      <c r="L175" s="397">
        <f t="shared" si="108"/>
        <v>0</v>
      </c>
      <c r="M175" s="397">
        <f t="shared" si="108"/>
        <v>0</v>
      </c>
      <c r="N175" s="397">
        <f t="shared" si="108"/>
        <v>0</v>
      </c>
      <c r="O175" s="397">
        <f t="shared" si="108"/>
        <v>0</v>
      </c>
      <c r="P175" s="397">
        <f t="shared" si="108"/>
        <v>0</v>
      </c>
      <c r="Q175" s="397">
        <f t="shared" si="108"/>
        <v>0</v>
      </c>
      <c r="R175" s="397">
        <f t="shared" si="108"/>
        <v>0</v>
      </c>
      <c r="S175" s="366">
        <f t="shared" si="105"/>
        <v>0</v>
      </c>
    </row>
    <row r="176" spans="1:19">
      <c r="A176" s="206">
        <v>123</v>
      </c>
      <c r="B176" s="36"/>
      <c r="C176" s="9" t="s">
        <v>124</v>
      </c>
      <c r="D176" s="9"/>
      <c r="E176" s="18" t="s">
        <v>221</v>
      </c>
      <c r="F176" s="140" t="s">
        <v>265</v>
      </c>
      <c r="G176" s="365">
        <f>'Yr 1 Operating Statement of Act'!G178/12</f>
        <v>1208.3333333333333</v>
      </c>
      <c r="H176" s="397">
        <f t="shared" si="103"/>
        <v>1208.3333333333333</v>
      </c>
      <c r="I176" s="397">
        <f t="shared" si="103"/>
        <v>1208.3333333333333</v>
      </c>
      <c r="J176" s="397">
        <f t="shared" ref="J176:R176" si="109">I176</f>
        <v>1208.3333333333333</v>
      </c>
      <c r="K176" s="397">
        <f t="shared" si="109"/>
        <v>1208.3333333333333</v>
      </c>
      <c r="L176" s="397">
        <f t="shared" si="109"/>
        <v>1208.3333333333333</v>
      </c>
      <c r="M176" s="397">
        <f t="shared" si="109"/>
        <v>1208.3333333333333</v>
      </c>
      <c r="N176" s="397">
        <f t="shared" si="109"/>
        <v>1208.3333333333333</v>
      </c>
      <c r="O176" s="397">
        <f t="shared" si="109"/>
        <v>1208.3333333333333</v>
      </c>
      <c r="P176" s="397">
        <f t="shared" si="109"/>
        <v>1208.3333333333333</v>
      </c>
      <c r="Q176" s="397">
        <f t="shared" si="109"/>
        <v>1208.3333333333333</v>
      </c>
      <c r="R176" s="397">
        <f t="shared" si="109"/>
        <v>1208.3333333333333</v>
      </c>
      <c r="S176" s="366">
        <f t="shared" si="105"/>
        <v>14500.000000000002</v>
      </c>
    </row>
    <row r="177" spans="1:19">
      <c r="A177" s="206">
        <v>124</v>
      </c>
      <c r="B177" s="36"/>
      <c r="C177" s="9" t="s">
        <v>295</v>
      </c>
      <c r="D177" s="9"/>
      <c r="E177" s="18" t="s">
        <v>97</v>
      </c>
      <c r="F177" s="140" t="s">
        <v>265</v>
      </c>
      <c r="G177" s="365">
        <f>'Yr 1 Operating Statement of Act'!G179/12</f>
        <v>971</v>
      </c>
      <c r="H177" s="397">
        <f t="shared" si="103"/>
        <v>971</v>
      </c>
      <c r="I177" s="397">
        <f t="shared" si="103"/>
        <v>971</v>
      </c>
      <c r="J177" s="397">
        <f t="shared" ref="J177:R177" si="110">I177</f>
        <v>971</v>
      </c>
      <c r="K177" s="397">
        <f t="shared" si="110"/>
        <v>971</v>
      </c>
      <c r="L177" s="397">
        <f t="shared" si="110"/>
        <v>971</v>
      </c>
      <c r="M177" s="397">
        <f t="shared" si="110"/>
        <v>971</v>
      </c>
      <c r="N177" s="397">
        <f t="shared" si="110"/>
        <v>971</v>
      </c>
      <c r="O177" s="397">
        <f t="shared" si="110"/>
        <v>971</v>
      </c>
      <c r="P177" s="397">
        <f t="shared" si="110"/>
        <v>971</v>
      </c>
      <c r="Q177" s="397">
        <f t="shared" si="110"/>
        <v>971</v>
      </c>
      <c r="R177" s="397">
        <f t="shared" si="110"/>
        <v>971</v>
      </c>
      <c r="S177" s="366">
        <f t="shared" si="105"/>
        <v>11652</v>
      </c>
    </row>
    <row r="178" spans="1:19">
      <c r="A178" s="206">
        <v>125</v>
      </c>
      <c r="B178" s="36"/>
      <c r="C178" s="9" t="s">
        <v>98</v>
      </c>
      <c r="D178" s="9"/>
      <c r="E178" s="18" t="s">
        <v>99</v>
      </c>
      <c r="F178" s="140" t="s">
        <v>265</v>
      </c>
      <c r="G178" s="365">
        <f>'Yr 1 Operating Statement of Act'!G180/12</f>
        <v>992</v>
      </c>
      <c r="H178" s="397">
        <f t="shared" si="103"/>
        <v>992</v>
      </c>
      <c r="I178" s="397">
        <f t="shared" si="103"/>
        <v>992</v>
      </c>
      <c r="J178" s="397">
        <f t="shared" ref="J178:R178" si="111">I178</f>
        <v>992</v>
      </c>
      <c r="K178" s="397">
        <f t="shared" si="111"/>
        <v>992</v>
      </c>
      <c r="L178" s="397">
        <f t="shared" si="111"/>
        <v>992</v>
      </c>
      <c r="M178" s="397">
        <f t="shared" si="111"/>
        <v>992</v>
      </c>
      <c r="N178" s="397">
        <f t="shared" si="111"/>
        <v>992</v>
      </c>
      <c r="O178" s="397">
        <f t="shared" si="111"/>
        <v>992</v>
      </c>
      <c r="P178" s="397">
        <f t="shared" si="111"/>
        <v>992</v>
      </c>
      <c r="Q178" s="397">
        <f t="shared" si="111"/>
        <v>992</v>
      </c>
      <c r="R178" s="397">
        <f t="shared" si="111"/>
        <v>992</v>
      </c>
      <c r="S178" s="366">
        <f t="shared" si="105"/>
        <v>11904</v>
      </c>
    </row>
    <row r="179" spans="1:19">
      <c r="A179" s="206">
        <v>126</v>
      </c>
      <c r="B179" s="36"/>
      <c r="C179" s="9" t="s">
        <v>100</v>
      </c>
      <c r="D179" s="9"/>
      <c r="E179" s="18" t="s">
        <v>101</v>
      </c>
      <c r="F179" s="140" t="s">
        <v>265</v>
      </c>
      <c r="G179" s="365">
        <f>'Yr 1 Operating Statement of Act'!G181/12</f>
        <v>232</v>
      </c>
      <c r="H179" s="397">
        <f t="shared" si="103"/>
        <v>232</v>
      </c>
      <c r="I179" s="397">
        <f t="shared" si="103"/>
        <v>232</v>
      </c>
      <c r="J179" s="397">
        <f t="shared" ref="J179:R179" si="112">I179</f>
        <v>232</v>
      </c>
      <c r="K179" s="397">
        <f t="shared" si="112"/>
        <v>232</v>
      </c>
      <c r="L179" s="397">
        <f t="shared" si="112"/>
        <v>232</v>
      </c>
      <c r="M179" s="397">
        <f t="shared" si="112"/>
        <v>232</v>
      </c>
      <c r="N179" s="397">
        <f t="shared" si="112"/>
        <v>232</v>
      </c>
      <c r="O179" s="397">
        <f t="shared" si="112"/>
        <v>232</v>
      </c>
      <c r="P179" s="397">
        <f t="shared" si="112"/>
        <v>232</v>
      </c>
      <c r="Q179" s="397">
        <f t="shared" si="112"/>
        <v>232</v>
      </c>
      <c r="R179" s="397">
        <f t="shared" si="112"/>
        <v>232</v>
      </c>
      <c r="S179" s="366">
        <f t="shared" si="105"/>
        <v>2784</v>
      </c>
    </row>
    <row r="180" spans="1:19">
      <c r="A180" s="206">
        <v>127</v>
      </c>
      <c r="B180" s="36"/>
      <c r="C180" s="9" t="s">
        <v>219</v>
      </c>
      <c r="D180" s="9"/>
      <c r="E180" s="18" t="s">
        <v>220</v>
      </c>
      <c r="F180" s="140" t="s">
        <v>265</v>
      </c>
      <c r="G180" s="365">
        <f>'Yr 1 Operating Statement of Act'!G182/12</f>
        <v>320</v>
      </c>
      <c r="H180" s="397">
        <f t="shared" si="103"/>
        <v>320</v>
      </c>
      <c r="I180" s="397">
        <f t="shared" si="103"/>
        <v>320</v>
      </c>
      <c r="J180" s="397">
        <f t="shared" ref="J180:R180" si="113">I180</f>
        <v>320</v>
      </c>
      <c r="K180" s="397">
        <f t="shared" si="113"/>
        <v>320</v>
      </c>
      <c r="L180" s="397">
        <f t="shared" si="113"/>
        <v>320</v>
      </c>
      <c r="M180" s="397">
        <f t="shared" si="113"/>
        <v>320</v>
      </c>
      <c r="N180" s="397">
        <f t="shared" si="113"/>
        <v>320</v>
      </c>
      <c r="O180" s="397">
        <f t="shared" si="113"/>
        <v>320</v>
      </c>
      <c r="P180" s="397">
        <f t="shared" si="113"/>
        <v>320</v>
      </c>
      <c r="Q180" s="397">
        <f t="shared" si="113"/>
        <v>320</v>
      </c>
      <c r="R180" s="397">
        <f t="shared" si="113"/>
        <v>320</v>
      </c>
      <c r="S180" s="366">
        <f t="shared" si="105"/>
        <v>3840</v>
      </c>
    </row>
    <row r="181" spans="1:19">
      <c r="A181" s="206">
        <v>128</v>
      </c>
      <c r="B181" s="36"/>
      <c r="C181" s="9" t="s">
        <v>102</v>
      </c>
      <c r="D181" s="9"/>
      <c r="E181" s="18" t="s">
        <v>103</v>
      </c>
      <c r="F181" s="140" t="s">
        <v>265</v>
      </c>
      <c r="G181" s="365">
        <f>'Yr 1 Operating Statement of Act'!G183/12</f>
        <v>156.79999999999998</v>
      </c>
      <c r="H181" s="397">
        <f t="shared" si="103"/>
        <v>156.79999999999998</v>
      </c>
      <c r="I181" s="397">
        <f t="shared" si="103"/>
        <v>156.79999999999998</v>
      </c>
      <c r="J181" s="397">
        <f t="shared" ref="J181:R181" si="114">I181</f>
        <v>156.79999999999998</v>
      </c>
      <c r="K181" s="397">
        <f t="shared" si="114"/>
        <v>156.79999999999998</v>
      </c>
      <c r="L181" s="397">
        <f t="shared" si="114"/>
        <v>156.79999999999998</v>
      </c>
      <c r="M181" s="397">
        <f t="shared" si="114"/>
        <v>156.79999999999998</v>
      </c>
      <c r="N181" s="397">
        <f t="shared" si="114"/>
        <v>156.79999999999998</v>
      </c>
      <c r="O181" s="397">
        <f t="shared" si="114"/>
        <v>156.79999999999998</v>
      </c>
      <c r="P181" s="397">
        <f t="shared" si="114"/>
        <v>156.79999999999998</v>
      </c>
      <c r="Q181" s="397">
        <f t="shared" si="114"/>
        <v>156.79999999999998</v>
      </c>
      <c r="R181" s="397">
        <f t="shared" si="114"/>
        <v>156.79999999999998</v>
      </c>
      <c r="S181" s="366">
        <f t="shared" si="105"/>
        <v>1881.5999999999997</v>
      </c>
    </row>
    <row r="182" spans="1:19">
      <c r="A182" s="206">
        <v>129</v>
      </c>
      <c r="B182" s="36"/>
      <c r="C182" s="9" t="s">
        <v>104</v>
      </c>
      <c r="D182" s="9"/>
      <c r="E182" s="18" t="s">
        <v>105</v>
      </c>
      <c r="F182" s="140" t="s">
        <v>265</v>
      </c>
      <c r="G182" s="365">
        <f>'Yr 1 Operating Statement of Act'!G184/12</f>
        <v>120</v>
      </c>
      <c r="H182" s="397">
        <f t="shared" si="103"/>
        <v>120</v>
      </c>
      <c r="I182" s="397">
        <f t="shared" si="103"/>
        <v>120</v>
      </c>
      <c r="J182" s="397">
        <f t="shared" ref="J182:R182" si="115">I182</f>
        <v>120</v>
      </c>
      <c r="K182" s="397">
        <f t="shared" si="115"/>
        <v>120</v>
      </c>
      <c r="L182" s="397">
        <f t="shared" si="115"/>
        <v>120</v>
      </c>
      <c r="M182" s="397">
        <f t="shared" si="115"/>
        <v>120</v>
      </c>
      <c r="N182" s="397">
        <f t="shared" si="115"/>
        <v>120</v>
      </c>
      <c r="O182" s="397">
        <f t="shared" si="115"/>
        <v>120</v>
      </c>
      <c r="P182" s="397">
        <f t="shared" si="115"/>
        <v>120</v>
      </c>
      <c r="Q182" s="397">
        <f t="shared" si="115"/>
        <v>120</v>
      </c>
      <c r="R182" s="397">
        <f t="shared" si="115"/>
        <v>120</v>
      </c>
      <c r="S182" s="366">
        <f t="shared" si="105"/>
        <v>1440</v>
      </c>
    </row>
    <row r="183" spans="1:19">
      <c r="A183" s="206">
        <v>130</v>
      </c>
      <c r="B183" s="36"/>
      <c r="C183" s="85" t="s">
        <v>283</v>
      </c>
      <c r="D183" s="9"/>
      <c r="E183" s="18"/>
      <c r="F183" s="140"/>
      <c r="G183" s="365"/>
      <c r="H183" s="397"/>
      <c r="I183" s="397"/>
      <c r="J183" s="397"/>
      <c r="K183" s="397"/>
      <c r="L183" s="397"/>
      <c r="M183" s="397"/>
      <c r="N183" s="397"/>
      <c r="O183" s="397"/>
      <c r="P183" s="397"/>
      <c r="Q183" s="397"/>
      <c r="R183" s="366"/>
      <c r="S183" s="366">
        <f t="shared" si="105"/>
        <v>0</v>
      </c>
    </row>
    <row r="184" spans="1:19">
      <c r="A184" s="206">
        <v>131</v>
      </c>
      <c r="B184" s="36"/>
      <c r="C184" s="85"/>
      <c r="D184" s="9"/>
      <c r="E184" s="18"/>
      <c r="F184" s="140"/>
      <c r="G184" s="365"/>
      <c r="H184" s="397"/>
      <c r="I184" s="397"/>
      <c r="J184" s="397"/>
      <c r="K184" s="397"/>
      <c r="L184" s="397"/>
      <c r="M184" s="397"/>
      <c r="N184" s="397"/>
      <c r="O184" s="397"/>
      <c r="P184" s="397"/>
      <c r="Q184" s="397"/>
      <c r="R184" s="366"/>
      <c r="S184" s="366">
        <f t="shared" si="105"/>
        <v>0</v>
      </c>
    </row>
    <row r="185" spans="1:19">
      <c r="A185" s="206">
        <v>132</v>
      </c>
      <c r="B185" s="83"/>
      <c r="D185" s="13"/>
      <c r="E185" s="14"/>
      <c r="F185" s="148"/>
      <c r="G185" s="380"/>
      <c r="H185" s="405"/>
      <c r="I185" s="405"/>
      <c r="J185" s="405"/>
      <c r="K185" s="405"/>
      <c r="L185" s="405"/>
      <c r="M185" s="405"/>
      <c r="N185" s="405"/>
      <c r="O185" s="405"/>
      <c r="P185" s="405"/>
      <c r="Q185" s="405"/>
      <c r="R185" s="432"/>
      <c r="S185" s="366">
        <f t="shared" si="105"/>
        <v>0</v>
      </c>
    </row>
    <row r="186" spans="1:19">
      <c r="A186" s="207">
        <v>133</v>
      </c>
      <c r="B186" s="87" t="s">
        <v>125</v>
      </c>
      <c r="C186" s="51"/>
      <c r="D186" s="51"/>
      <c r="E186" s="49"/>
      <c r="F186" s="144"/>
      <c r="G186" s="384">
        <f t="shared" ref="G186:S186" si="116">SUM(G172:G185)</f>
        <v>20000.133333333331</v>
      </c>
      <c r="H186" s="408">
        <f t="shared" si="116"/>
        <v>20000.133333333331</v>
      </c>
      <c r="I186" s="408">
        <f t="shared" si="116"/>
        <v>20000.133333333331</v>
      </c>
      <c r="J186" s="408">
        <f t="shared" si="116"/>
        <v>20000.133333333331</v>
      </c>
      <c r="K186" s="408">
        <f t="shared" si="116"/>
        <v>20000.133333333331</v>
      </c>
      <c r="L186" s="408">
        <f t="shared" si="116"/>
        <v>20000.133333333331</v>
      </c>
      <c r="M186" s="408">
        <f t="shared" si="116"/>
        <v>20000.133333333331</v>
      </c>
      <c r="N186" s="408">
        <f t="shared" si="116"/>
        <v>20000.133333333331</v>
      </c>
      <c r="O186" s="408">
        <f t="shared" si="116"/>
        <v>20000.133333333331</v>
      </c>
      <c r="P186" s="408">
        <f t="shared" si="116"/>
        <v>20000.133333333331</v>
      </c>
      <c r="Q186" s="408">
        <f t="shared" si="116"/>
        <v>20000.133333333331</v>
      </c>
      <c r="R186" s="428">
        <f t="shared" si="116"/>
        <v>20000.133333333331</v>
      </c>
      <c r="S186" s="428">
        <f t="shared" si="116"/>
        <v>240001.6</v>
      </c>
    </row>
    <row r="187" spans="1:19" ht="4.5" customHeight="1">
      <c r="A187" s="211"/>
      <c r="B187" s="35"/>
      <c r="C187" s="12"/>
      <c r="D187" s="12"/>
      <c r="E187" s="16"/>
      <c r="F187" s="152"/>
      <c r="G187" s="388"/>
      <c r="H187" s="411"/>
      <c r="I187" s="411"/>
      <c r="J187" s="411"/>
      <c r="K187" s="411"/>
      <c r="L187" s="411"/>
      <c r="M187" s="411"/>
      <c r="N187" s="411"/>
      <c r="O187" s="411"/>
      <c r="P187" s="411"/>
      <c r="Q187" s="411"/>
      <c r="R187" s="436"/>
      <c r="S187" s="436"/>
    </row>
    <row r="188" spans="1:19" s="4" customFormat="1">
      <c r="A188" s="206"/>
      <c r="B188" s="88" t="s">
        <v>292</v>
      </c>
      <c r="C188" s="53"/>
      <c r="D188" s="53"/>
      <c r="E188" s="61"/>
      <c r="F188" s="139"/>
      <c r="G188" s="383"/>
      <c r="H188" s="400"/>
      <c r="I188" s="400"/>
      <c r="J188" s="400"/>
      <c r="K188" s="400"/>
      <c r="L188" s="400"/>
      <c r="M188" s="400"/>
      <c r="N188" s="400"/>
      <c r="O188" s="400"/>
      <c r="P188" s="400"/>
      <c r="Q188" s="400"/>
      <c r="R188" s="425"/>
      <c r="S188" s="425"/>
    </row>
    <row r="189" spans="1:19">
      <c r="A189" s="206"/>
      <c r="B189" s="25"/>
      <c r="C189" s="11" t="s">
        <v>1</v>
      </c>
      <c r="D189" s="11"/>
      <c r="E189" s="61"/>
      <c r="F189" s="139"/>
      <c r="G189" s="383"/>
      <c r="H189" s="400"/>
      <c r="I189" s="400"/>
      <c r="J189" s="400"/>
      <c r="K189" s="400"/>
      <c r="L189" s="400"/>
      <c r="M189" s="400"/>
      <c r="N189" s="400"/>
      <c r="O189" s="400"/>
      <c r="P189" s="400"/>
      <c r="Q189" s="400"/>
      <c r="R189" s="425"/>
      <c r="S189" s="425"/>
    </row>
    <row r="190" spans="1:19">
      <c r="A190" s="206">
        <v>134</v>
      </c>
      <c r="B190" s="36"/>
      <c r="C190" s="9"/>
      <c r="D190" s="9" t="s">
        <v>127</v>
      </c>
      <c r="E190" s="18">
        <v>332</v>
      </c>
      <c r="F190" s="140" t="s">
        <v>225</v>
      </c>
      <c r="G190" s="365">
        <v>0</v>
      </c>
      <c r="H190" s="397">
        <v>833</v>
      </c>
      <c r="I190" s="397">
        <f t="shared" ref="H190:I197" si="117">H190</f>
        <v>833</v>
      </c>
      <c r="J190" s="397">
        <f t="shared" ref="J190:R190" si="118">I190</f>
        <v>833</v>
      </c>
      <c r="K190" s="397">
        <f t="shared" si="118"/>
        <v>833</v>
      </c>
      <c r="L190" s="397">
        <f t="shared" si="118"/>
        <v>833</v>
      </c>
      <c r="M190" s="397">
        <f t="shared" si="118"/>
        <v>833</v>
      </c>
      <c r="N190" s="397">
        <f t="shared" si="118"/>
        <v>833</v>
      </c>
      <c r="O190" s="397">
        <f t="shared" si="118"/>
        <v>833</v>
      </c>
      <c r="P190" s="397">
        <f t="shared" si="118"/>
        <v>833</v>
      </c>
      <c r="Q190" s="397">
        <f t="shared" si="118"/>
        <v>833</v>
      </c>
      <c r="R190" s="397">
        <f t="shared" si="118"/>
        <v>833</v>
      </c>
      <c r="S190" s="366">
        <f t="shared" ref="S190:S200" si="119">SUM(G190:R190)</f>
        <v>9163</v>
      </c>
    </row>
    <row r="191" spans="1:19">
      <c r="A191" s="206">
        <v>135</v>
      </c>
      <c r="B191" s="36"/>
      <c r="C191" s="9"/>
      <c r="D191" s="9" t="s">
        <v>83</v>
      </c>
      <c r="E191" s="18" t="s">
        <v>84</v>
      </c>
      <c r="F191" s="140" t="s">
        <v>126</v>
      </c>
      <c r="G191" s="365">
        <f>'Yr 1 Operating Statement of Act'!G193/12</f>
        <v>10000</v>
      </c>
      <c r="H191" s="397">
        <f t="shared" si="117"/>
        <v>10000</v>
      </c>
      <c r="I191" s="397">
        <f t="shared" si="117"/>
        <v>10000</v>
      </c>
      <c r="J191" s="397">
        <f t="shared" ref="J191:R191" si="120">I191</f>
        <v>10000</v>
      </c>
      <c r="K191" s="397">
        <f t="shared" si="120"/>
        <v>10000</v>
      </c>
      <c r="L191" s="397">
        <f t="shared" si="120"/>
        <v>10000</v>
      </c>
      <c r="M191" s="397">
        <f t="shared" si="120"/>
        <v>10000</v>
      </c>
      <c r="N191" s="397">
        <f t="shared" si="120"/>
        <v>10000</v>
      </c>
      <c r="O191" s="397">
        <f t="shared" si="120"/>
        <v>10000</v>
      </c>
      <c r="P191" s="397">
        <f t="shared" si="120"/>
        <v>10000</v>
      </c>
      <c r="Q191" s="397">
        <f t="shared" si="120"/>
        <v>10000</v>
      </c>
      <c r="R191" s="397">
        <f t="shared" si="120"/>
        <v>10000</v>
      </c>
      <c r="S191" s="366">
        <f t="shared" si="119"/>
        <v>120000</v>
      </c>
    </row>
    <row r="192" spans="1:19">
      <c r="A192" s="206">
        <v>136</v>
      </c>
      <c r="B192" s="36"/>
      <c r="C192" s="9"/>
      <c r="D192" s="9" t="s">
        <v>128</v>
      </c>
      <c r="E192" s="18" t="s">
        <v>129</v>
      </c>
      <c r="F192" s="140" t="s">
        <v>126</v>
      </c>
      <c r="G192" s="365">
        <v>0</v>
      </c>
      <c r="H192" s="397">
        <v>833</v>
      </c>
      <c r="I192" s="397">
        <f t="shared" si="117"/>
        <v>833</v>
      </c>
      <c r="J192" s="397">
        <f t="shared" ref="J192:R192" si="121">I192</f>
        <v>833</v>
      </c>
      <c r="K192" s="397">
        <f t="shared" si="121"/>
        <v>833</v>
      </c>
      <c r="L192" s="397">
        <f t="shared" si="121"/>
        <v>833</v>
      </c>
      <c r="M192" s="397">
        <f t="shared" si="121"/>
        <v>833</v>
      </c>
      <c r="N192" s="397">
        <f t="shared" si="121"/>
        <v>833</v>
      </c>
      <c r="O192" s="397">
        <f t="shared" si="121"/>
        <v>833</v>
      </c>
      <c r="P192" s="397">
        <f t="shared" si="121"/>
        <v>833</v>
      </c>
      <c r="Q192" s="397">
        <f t="shared" si="121"/>
        <v>833</v>
      </c>
      <c r="R192" s="397">
        <f t="shared" si="121"/>
        <v>833</v>
      </c>
      <c r="S192" s="366">
        <f t="shared" si="119"/>
        <v>9163</v>
      </c>
    </row>
    <row r="193" spans="1:19">
      <c r="A193" s="206">
        <v>137</v>
      </c>
      <c r="B193" s="36"/>
      <c r="C193" s="9"/>
      <c r="D193" s="9" t="s">
        <v>130</v>
      </c>
      <c r="E193" s="18" t="s">
        <v>223</v>
      </c>
      <c r="F193" s="140" t="s">
        <v>225</v>
      </c>
      <c r="G193" s="365">
        <v>0</v>
      </c>
      <c r="H193" s="397">
        <v>2917</v>
      </c>
      <c r="I193" s="397">
        <f t="shared" si="117"/>
        <v>2917</v>
      </c>
      <c r="J193" s="397">
        <f t="shared" ref="J193:R193" si="122">I193</f>
        <v>2917</v>
      </c>
      <c r="K193" s="397">
        <f t="shared" si="122"/>
        <v>2917</v>
      </c>
      <c r="L193" s="397">
        <f t="shared" si="122"/>
        <v>2917</v>
      </c>
      <c r="M193" s="397">
        <f t="shared" si="122"/>
        <v>2917</v>
      </c>
      <c r="N193" s="397">
        <f t="shared" si="122"/>
        <v>2917</v>
      </c>
      <c r="O193" s="397">
        <f t="shared" si="122"/>
        <v>2917</v>
      </c>
      <c r="P193" s="397">
        <f t="shared" si="122"/>
        <v>2917</v>
      </c>
      <c r="Q193" s="397">
        <f t="shared" si="122"/>
        <v>2917</v>
      </c>
      <c r="R193" s="397">
        <f t="shared" si="122"/>
        <v>2917</v>
      </c>
      <c r="S193" s="366">
        <f t="shared" si="119"/>
        <v>32087</v>
      </c>
    </row>
    <row r="194" spans="1:19">
      <c r="A194" s="206">
        <v>138</v>
      </c>
      <c r="B194" s="36"/>
      <c r="C194" s="9"/>
      <c r="D194" s="9" t="s">
        <v>131</v>
      </c>
      <c r="E194" s="18" t="s">
        <v>132</v>
      </c>
      <c r="F194" s="140" t="s">
        <v>126</v>
      </c>
      <c r="G194" s="365">
        <f>'Yr 1 Operating Statement of Act'!G196/12</f>
        <v>0</v>
      </c>
      <c r="H194" s="397">
        <f t="shared" si="117"/>
        <v>0</v>
      </c>
      <c r="I194" s="397">
        <f t="shared" si="117"/>
        <v>0</v>
      </c>
      <c r="J194" s="397">
        <f t="shared" ref="J194:R194" si="123">I194</f>
        <v>0</v>
      </c>
      <c r="K194" s="397">
        <f t="shared" si="123"/>
        <v>0</v>
      </c>
      <c r="L194" s="397">
        <f t="shared" si="123"/>
        <v>0</v>
      </c>
      <c r="M194" s="397">
        <f t="shared" si="123"/>
        <v>0</v>
      </c>
      <c r="N194" s="397">
        <f t="shared" si="123"/>
        <v>0</v>
      </c>
      <c r="O194" s="397">
        <f t="shared" si="123"/>
        <v>0</v>
      </c>
      <c r="P194" s="397">
        <f t="shared" si="123"/>
        <v>0</v>
      </c>
      <c r="Q194" s="397">
        <f t="shared" si="123"/>
        <v>0</v>
      </c>
      <c r="R194" s="397">
        <f t="shared" si="123"/>
        <v>0</v>
      </c>
      <c r="S194" s="366">
        <f t="shared" si="119"/>
        <v>0</v>
      </c>
    </row>
    <row r="195" spans="1:19">
      <c r="A195" s="206">
        <v>139</v>
      </c>
      <c r="B195" s="36"/>
      <c r="C195" s="9"/>
      <c r="D195" s="9" t="s">
        <v>5</v>
      </c>
      <c r="E195" s="18">
        <v>730</v>
      </c>
      <c r="F195" s="140" t="s">
        <v>225</v>
      </c>
      <c r="G195" s="365">
        <f>'Yr 1 Operating Statement of Act'!G197/12</f>
        <v>0</v>
      </c>
      <c r="H195" s="397">
        <f t="shared" si="117"/>
        <v>0</v>
      </c>
      <c r="I195" s="397">
        <f t="shared" si="117"/>
        <v>0</v>
      </c>
      <c r="J195" s="397">
        <f t="shared" ref="J195:R195" si="124">I195</f>
        <v>0</v>
      </c>
      <c r="K195" s="397">
        <f t="shared" si="124"/>
        <v>0</v>
      </c>
      <c r="L195" s="397">
        <f t="shared" si="124"/>
        <v>0</v>
      </c>
      <c r="M195" s="397">
        <f t="shared" si="124"/>
        <v>0</v>
      </c>
      <c r="N195" s="397">
        <f t="shared" si="124"/>
        <v>0</v>
      </c>
      <c r="O195" s="397">
        <f t="shared" si="124"/>
        <v>0</v>
      </c>
      <c r="P195" s="397">
        <f t="shared" si="124"/>
        <v>0</v>
      </c>
      <c r="Q195" s="397">
        <f t="shared" si="124"/>
        <v>0</v>
      </c>
      <c r="R195" s="397">
        <f t="shared" si="124"/>
        <v>0</v>
      </c>
      <c r="S195" s="366">
        <f t="shared" si="119"/>
        <v>0</v>
      </c>
    </row>
    <row r="196" spans="1:19">
      <c r="A196" s="206">
        <v>140</v>
      </c>
      <c r="B196" s="36"/>
      <c r="C196" s="9"/>
      <c r="D196" s="9" t="s">
        <v>133</v>
      </c>
      <c r="E196" s="18" t="s">
        <v>116</v>
      </c>
      <c r="F196" s="140" t="s">
        <v>126</v>
      </c>
      <c r="G196" s="365">
        <v>0</v>
      </c>
      <c r="H196" s="397">
        <v>208</v>
      </c>
      <c r="I196" s="397">
        <f t="shared" si="117"/>
        <v>208</v>
      </c>
      <c r="J196" s="397">
        <f t="shared" ref="J196:R196" si="125">I196</f>
        <v>208</v>
      </c>
      <c r="K196" s="397">
        <f t="shared" si="125"/>
        <v>208</v>
      </c>
      <c r="L196" s="397">
        <f t="shared" si="125"/>
        <v>208</v>
      </c>
      <c r="M196" s="397">
        <f t="shared" si="125"/>
        <v>208</v>
      </c>
      <c r="N196" s="397">
        <f t="shared" si="125"/>
        <v>208</v>
      </c>
      <c r="O196" s="397">
        <f t="shared" si="125"/>
        <v>208</v>
      </c>
      <c r="P196" s="397">
        <f t="shared" si="125"/>
        <v>208</v>
      </c>
      <c r="Q196" s="397">
        <f t="shared" si="125"/>
        <v>208</v>
      </c>
      <c r="R196" s="397">
        <f t="shared" si="125"/>
        <v>208</v>
      </c>
      <c r="S196" s="366">
        <f t="shared" si="119"/>
        <v>2288</v>
      </c>
    </row>
    <row r="197" spans="1:19">
      <c r="A197" s="206">
        <v>141</v>
      </c>
      <c r="B197" s="36"/>
      <c r="C197" s="9"/>
      <c r="D197" s="9" t="s">
        <v>134</v>
      </c>
      <c r="E197" s="18" t="s">
        <v>135</v>
      </c>
      <c r="F197" s="140" t="s">
        <v>126</v>
      </c>
      <c r="G197" s="365">
        <f>'Yr 1 Operating Statement of Act'!G200/12</f>
        <v>0</v>
      </c>
      <c r="H197" s="397">
        <f t="shared" si="117"/>
        <v>0</v>
      </c>
      <c r="I197" s="397">
        <f t="shared" si="117"/>
        <v>0</v>
      </c>
      <c r="J197" s="397">
        <f t="shared" ref="J197:R197" si="126">I197</f>
        <v>0</v>
      </c>
      <c r="K197" s="397">
        <f t="shared" si="126"/>
        <v>0</v>
      </c>
      <c r="L197" s="397">
        <f t="shared" si="126"/>
        <v>0</v>
      </c>
      <c r="M197" s="397">
        <f t="shared" si="126"/>
        <v>0</v>
      </c>
      <c r="N197" s="397">
        <f t="shared" si="126"/>
        <v>0</v>
      </c>
      <c r="O197" s="397">
        <f t="shared" si="126"/>
        <v>0</v>
      </c>
      <c r="P197" s="397">
        <f t="shared" si="126"/>
        <v>0</v>
      </c>
      <c r="Q197" s="397">
        <f t="shared" si="126"/>
        <v>0</v>
      </c>
      <c r="R197" s="397">
        <f t="shared" si="126"/>
        <v>0</v>
      </c>
      <c r="S197" s="366">
        <f t="shared" si="119"/>
        <v>0</v>
      </c>
    </row>
    <row r="198" spans="1:19">
      <c r="A198" s="206">
        <v>142</v>
      </c>
      <c r="B198" s="36"/>
      <c r="C198" s="85" t="s">
        <v>283</v>
      </c>
      <c r="D198" s="9"/>
      <c r="E198" s="18"/>
      <c r="F198" s="140"/>
      <c r="G198" s="365"/>
      <c r="H198" s="397"/>
      <c r="I198" s="397"/>
      <c r="J198" s="397"/>
      <c r="K198" s="397"/>
      <c r="L198" s="397"/>
      <c r="M198" s="397"/>
      <c r="N198" s="397"/>
      <c r="O198" s="397"/>
      <c r="P198" s="397"/>
      <c r="Q198" s="397"/>
      <c r="R198" s="366"/>
      <c r="S198" s="366">
        <f t="shared" si="119"/>
        <v>0</v>
      </c>
    </row>
    <row r="199" spans="1:19">
      <c r="A199" s="206">
        <v>143</v>
      </c>
      <c r="B199" s="107"/>
      <c r="C199" s="108"/>
      <c r="D199" s="109"/>
      <c r="E199" s="18"/>
      <c r="F199" s="140"/>
      <c r="G199" s="365"/>
      <c r="H199" s="397"/>
      <c r="I199" s="397"/>
      <c r="J199" s="397"/>
      <c r="K199" s="397"/>
      <c r="L199" s="397"/>
      <c r="M199" s="397"/>
      <c r="N199" s="397"/>
      <c r="O199" s="397"/>
      <c r="P199" s="397"/>
      <c r="Q199" s="397"/>
      <c r="R199" s="366"/>
      <c r="S199" s="366">
        <f t="shared" si="119"/>
        <v>0</v>
      </c>
    </row>
    <row r="200" spans="1:19">
      <c r="A200" s="206">
        <v>144</v>
      </c>
      <c r="B200" s="36"/>
      <c r="C200" s="9"/>
      <c r="D200" s="9"/>
      <c r="E200" s="18"/>
      <c r="F200" s="140"/>
      <c r="G200" s="365"/>
      <c r="H200" s="397"/>
      <c r="I200" s="397"/>
      <c r="J200" s="397"/>
      <c r="K200" s="397"/>
      <c r="L200" s="397"/>
      <c r="M200" s="397"/>
      <c r="N200" s="397"/>
      <c r="O200" s="397"/>
      <c r="P200" s="397"/>
      <c r="Q200" s="397"/>
      <c r="R200" s="366"/>
      <c r="S200" s="366">
        <f t="shared" si="119"/>
        <v>0</v>
      </c>
    </row>
    <row r="201" spans="1:19">
      <c r="A201" s="207">
        <v>145</v>
      </c>
      <c r="B201" s="87" t="s">
        <v>136</v>
      </c>
      <c r="C201" s="51"/>
      <c r="D201" s="51"/>
      <c r="E201" s="49"/>
      <c r="F201" s="144"/>
      <c r="G201" s="384">
        <f t="shared" ref="G201:S201" si="127">SUM(G190:G200)</f>
        <v>10000</v>
      </c>
      <c r="H201" s="408">
        <f t="shared" si="127"/>
        <v>14791</v>
      </c>
      <c r="I201" s="408">
        <f t="shared" si="127"/>
        <v>14791</v>
      </c>
      <c r="J201" s="408">
        <f t="shared" si="127"/>
        <v>14791</v>
      </c>
      <c r="K201" s="408">
        <f t="shared" si="127"/>
        <v>14791</v>
      </c>
      <c r="L201" s="408">
        <f t="shared" si="127"/>
        <v>14791</v>
      </c>
      <c r="M201" s="408">
        <f t="shared" si="127"/>
        <v>14791</v>
      </c>
      <c r="N201" s="408">
        <f t="shared" si="127"/>
        <v>14791</v>
      </c>
      <c r="O201" s="408">
        <f t="shared" si="127"/>
        <v>14791</v>
      </c>
      <c r="P201" s="408">
        <f t="shared" si="127"/>
        <v>14791</v>
      </c>
      <c r="Q201" s="408">
        <f t="shared" si="127"/>
        <v>14791</v>
      </c>
      <c r="R201" s="428">
        <f t="shared" si="127"/>
        <v>14791</v>
      </c>
      <c r="S201" s="428">
        <f t="shared" si="127"/>
        <v>172701</v>
      </c>
    </row>
    <row r="202" spans="1:19">
      <c r="A202" s="206"/>
      <c r="B202" s="36"/>
      <c r="C202" s="9"/>
      <c r="D202" s="9"/>
      <c r="E202" s="18"/>
      <c r="F202" s="140"/>
      <c r="G202" s="365"/>
      <c r="H202" s="397"/>
      <c r="I202" s="397"/>
      <c r="J202" s="397"/>
      <c r="K202" s="397"/>
      <c r="L202" s="397"/>
      <c r="M202" s="397"/>
      <c r="N202" s="397"/>
      <c r="O202" s="397"/>
      <c r="P202" s="397"/>
      <c r="Q202" s="397"/>
      <c r="R202" s="366"/>
      <c r="S202" s="366"/>
    </row>
    <row r="203" spans="1:19" s="4" customFormat="1">
      <c r="A203" s="206"/>
      <c r="B203" s="88" t="s">
        <v>26</v>
      </c>
      <c r="C203" s="53"/>
      <c r="D203" s="53"/>
      <c r="E203" s="61"/>
      <c r="F203" s="139"/>
      <c r="G203" s="383"/>
      <c r="H203" s="400"/>
      <c r="I203" s="400"/>
      <c r="J203" s="400"/>
      <c r="K203" s="400"/>
      <c r="L203" s="400"/>
      <c r="M203" s="400"/>
      <c r="N203" s="400"/>
      <c r="O203" s="400"/>
      <c r="P203" s="400"/>
      <c r="Q203" s="400"/>
      <c r="R203" s="425"/>
      <c r="S203" s="425"/>
    </row>
    <row r="204" spans="1:19">
      <c r="A204" s="206"/>
      <c r="B204" s="36"/>
      <c r="C204" s="9" t="s">
        <v>76</v>
      </c>
      <c r="D204" s="9"/>
      <c r="E204" s="61"/>
      <c r="F204" s="139"/>
      <c r="G204" s="383"/>
      <c r="H204" s="400"/>
      <c r="I204" s="400"/>
      <c r="J204" s="400"/>
      <c r="K204" s="400"/>
      <c r="L204" s="400"/>
      <c r="M204" s="400"/>
      <c r="N204" s="400"/>
      <c r="O204" s="400"/>
      <c r="P204" s="400"/>
      <c r="Q204" s="400"/>
      <c r="R204" s="425"/>
      <c r="S204" s="425"/>
    </row>
    <row r="205" spans="1:19">
      <c r="A205" s="206">
        <v>146</v>
      </c>
      <c r="B205" s="36"/>
      <c r="C205" s="9"/>
      <c r="D205" s="9" t="s">
        <v>137</v>
      </c>
      <c r="E205" s="18" t="s">
        <v>118</v>
      </c>
      <c r="F205" s="140" t="s">
        <v>138</v>
      </c>
      <c r="G205" s="365">
        <f>'Yr 1 Operating Statement of Act'!G208/12</f>
        <v>11666.666666666666</v>
      </c>
      <c r="H205" s="397">
        <f t="shared" ref="H205:I222" si="128">G205</f>
        <v>11666.666666666666</v>
      </c>
      <c r="I205" s="397">
        <f t="shared" si="128"/>
        <v>11666.666666666666</v>
      </c>
      <c r="J205" s="397">
        <f t="shared" ref="J205:R205" si="129">I205</f>
        <v>11666.666666666666</v>
      </c>
      <c r="K205" s="397">
        <f t="shared" si="129"/>
        <v>11666.666666666666</v>
      </c>
      <c r="L205" s="397">
        <f t="shared" si="129"/>
        <v>11666.666666666666</v>
      </c>
      <c r="M205" s="397">
        <f t="shared" si="129"/>
        <v>11666.666666666666</v>
      </c>
      <c r="N205" s="397">
        <f t="shared" si="129"/>
        <v>11666.666666666666</v>
      </c>
      <c r="O205" s="397">
        <f t="shared" si="129"/>
        <v>11666.666666666666</v>
      </c>
      <c r="P205" s="397">
        <f t="shared" si="129"/>
        <v>11666.666666666666</v>
      </c>
      <c r="Q205" s="397">
        <f t="shared" si="129"/>
        <v>11666.666666666666</v>
      </c>
      <c r="R205" s="397">
        <f t="shared" si="129"/>
        <v>11666.666666666666</v>
      </c>
      <c r="S205" s="366">
        <f t="shared" ref="S205:S225" si="130">SUM(G205:R205)</f>
        <v>140000.00000000003</v>
      </c>
    </row>
    <row r="206" spans="1:19">
      <c r="A206" s="206">
        <v>147</v>
      </c>
      <c r="B206" s="36"/>
      <c r="C206" s="9"/>
      <c r="D206" s="9" t="s">
        <v>139</v>
      </c>
      <c r="E206" s="18" t="s">
        <v>118</v>
      </c>
      <c r="F206" s="140" t="s">
        <v>140</v>
      </c>
      <c r="G206" s="365">
        <f>('Yr 1 Operating Statement of Act'!$G209/12)</f>
        <v>17500</v>
      </c>
      <c r="H206" s="365">
        <f>('Yr 1 Operating Statement of Act'!$G209/12)</f>
        <v>17500</v>
      </c>
      <c r="I206" s="397">
        <f t="shared" si="128"/>
        <v>17500</v>
      </c>
      <c r="J206" s="397">
        <f t="shared" ref="J206:R206" si="131">I206</f>
        <v>17500</v>
      </c>
      <c r="K206" s="397">
        <f t="shared" si="131"/>
        <v>17500</v>
      </c>
      <c r="L206" s="397">
        <f t="shared" si="131"/>
        <v>17500</v>
      </c>
      <c r="M206" s="397">
        <f t="shared" si="131"/>
        <v>17500</v>
      </c>
      <c r="N206" s="397">
        <f t="shared" si="131"/>
        <v>17500</v>
      </c>
      <c r="O206" s="397">
        <f t="shared" si="131"/>
        <v>17500</v>
      </c>
      <c r="P206" s="397">
        <f t="shared" si="131"/>
        <v>17500</v>
      </c>
      <c r="Q206" s="397">
        <f t="shared" si="131"/>
        <v>17500</v>
      </c>
      <c r="R206" s="397">
        <f t="shared" si="131"/>
        <v>17500</v>
      </c>
      <c r="S206" s="366">
        <f t="shared" si="130"/>
        <v>210000</v>
      </c>
    </row>
    <row r="207" spans="1:19">
      <c r="A207" s="206">
        <v>148</v>
      </c>
      <c r="B207" s="36"/>
      <c r="C207" s="9"/>
      <c r="D207" s="9" t="s">
        <v>141</v>
      </c>
      <c r="E207" s="18" t="s">
        <v>119</v>
      </c>
      <c r="F207" s="140" t="s">
        <v>142</v>
      </c>
      <c r="G207" s="365">
        <f>'Yr 1 Operating Statement of Act'!G210/12</f>
        <v>2975.25</v>
      </c>
      <c r="H207" s="397">
        <f t="shared" si="128"/>
        <v>2975.25</v>
      </c>
      <c r="I207" s="397">
        <f t="shared" si="128"/>
        <v>2975.25</v>
      </c>
      <c r="J207" s="397">
        <f t="shared" ref="J207:R207" si="132">I207</f>
        <v>2975.25</v>
      </c>
      <c r="K207" s="397">
        <f t="shared" si="132"/>
        <v>2975.25</v>
      </c>
      <c r="L207" s="397">
        <f t="shared" si="132"/>
        <v>2975.25</v>
      </c>
      <c r="M207" s="397">
        <f t="shared" si="132"/>
        <v>2975.25</v>
      </c>
      <c r="N207" s="397">
        <f t="shared" si="132"/>
        <v>2975.25</v>
      </c>
      <c r="O207" s="397">
        <f t="shared" si="132"/>
        <v>2975.25</v>
      </c>
      <c r="P207" s="397">
        <f t="shared" si="132"/>
        <v>2975.25</v>
      </c>
      <c r="Q207" s="397">
        <f t="shared" si="132"/>
        <v>2975.25</v>
      </c>
      <c r="R207" s="397">
        <f t="shared" si="132"/>
        <v>2975.25</v>
      </c>
      <c r="S207" s="366">
        <f t="shared" si="130"/>
        <v>35703</v>
      </c>
    </row>
    <row r="208" spans="1:19">
      <c r="A208" s="206">
        <v>149</v>
      </c>
      <c r="B208" s="36"/>
      <c r="C208" s="9" t="s">
        <v>83</v>
      </c>
      <c r="D208" s="9"/>
      <c r="E208" s="18" t="s">
        <v>84</v>
      </c>
      <c r="F208" s="140" t="s">
        <v>142</v>
      </c>
      <c r="G208" s="365">
        <v>0</v>
      </c>
      <c r="H208" s="397">
        <f t="shared" si="128"/>
        <v>0</v>
      </c>
      <c r="I208" s="397">
        <f t="shared" si="128"/>
        <v>0</v>
      </c>
      <c r="J208" s="397">
        <f t="shared" ref="J208:R208" si="133">I208</f>
        <v>0</v>
      </c>
      <c r="K208" s="397">
        <f t="shared" si="133"/>
        <v>0</v>
      </c>
      <c r="L208" s="397">
        <f t="shared" si="133"/>
        <v>0</v>
      </c>
      <c r="M208" s="397">
        <f t="shared" si="133"/>
        <v>0</v>
      </c>
      <c r="N208" s="397">
        <f t="shared" si="133"/>
        <v>0</v>
      </c>
      <c r="O208" s="397">
        <f t="shared" si="133"/>
        <v>0</v>
      </c>
      <c r="P208" s="397">
        <f t="shared" si="133"/>
        <v>0</v>
      </c>
      <c r="Q208" s="397">
        <f t="shared" si="133"/>
        <v>0</v>
      </c>
      <c r="R208" s="397">
        <f t="shared" si="133"/>
        <v>0</v>
      </c>
      <c r="S208" s="366">
        <f t="shared" si="130"/>
        <v>0</v>
      </c>
    </row>
    <row r="209" spans="1:19">
      <c r="A209" s="206">
        <v>150</v>
      </c>
      <c r="B209" s="36"/>
      <c r="C209" s="9" t="s">
        <v>85</v>
      </c>
      <c r="D209" s="9"/>
      <c r="E209" s="18" t="s">
        <v>86</v>
      </c>
      <c r="F209" s="140" t="s">
        <v>142</v>
      </c>
      <c r="G209" s="365">
        <f>'Yr 1 Operating Statement of Act'!G212/12</f>
        <v>0</v>
      </c>
      <c r="H209" s="397">
        <f t="shared" si="128"/>
        <v>0</v>
      </c>
      <c r="I209" s="397">
        <f t="shared" si="128"/>
        <v>0</v>
      </c>
      <c r="J209" s="397">
        <f t="shared" ref="J209:R209" si="134">I209</f>
        <v>0</v>
      </c>
      <c r="K209" s="397">
        <f t="shared" si="134"/>
        <v>0</v>
      </c>
      <c r="L209" s="397">
        <f t="shared" si="134"/>
        <v>0</v>
      </c>
      <c r="M209" s="397">
        <f t="shared" si="134"/>
        <v>0</v>
      </c>
      <c r="N209" s="397">
        <f t="shared" si="134"/>
        <v>0</v>
      </c>
      <c r="O209" s="397">
        <f t="shared" si="134"/>
        <v>0</v>
      </c>
      <c r="P209" s="397">
        <f t="shared" si="134"/>
        <v>0</v>
      </c>
      <c r="Q209" s="397">
        <f t="shared" si="134"/>
        <v>0</v>
      </c>
      <c r="R209" s="397">
        <f t="shared" si="134"/>
        <v>0</v>
      </c>
      <c r="S209" s="366">
        <f t="shared" si="130"/>
        <v>0</v>
      </c>
    </row>
    <row r="210" spans="1:19">
      <c r="A210" s="206">
        <v>151</v>
      </c>
      <c r="B210" s="36"/>
      <c r="C210" s="9" t="s">
        <v>111</v>
      </c>
      <c r="D210" s="9"/>
      <c r="E210" s="18" t="s">
        <v>112</v>
      </c>
      <c r="F210" s="140" t="s">
        <v>142</v>
      </c>
      <c r="G210" s="365">
        <f>'Yr 1 Operating Statement of Act'!G213/12</f>
        <v>0</v>
      </c>
      <c r="H210" s="397">
        <f t="shared" si="128"/>
        <v>0</v>
      </c>
      <c r="I210" s="397">
        <f t="shared" si="128"/>
        <v>0</v>
      </c>
      <c r="J210" s="397">
        <f t="shared" ref="J210:R210" si="135">I210</f>
        <v>0</v>
      </c>
      <c r="K210" s="397">
        <f t="shared" si="135"/>
        <v>0</v>
      </c>
      <c r="L210" s="397">
        <f t="shared" si="135"/>
        <v>0</v>
      </c>
      <c r="M210" s="397">
        <f t="shared" si="135"/>
        <v>0</v>
      </c>
      <c r="N210" s="397">
        <f t="shared" si="135"/>
        <v>0</v>
      </c>
      <c r="O210" s="397">
        <f t="shared" si="135"/>
        <v>0</v>
      </c>
      <c r="P210" s="397">
        <f t="shared" si="135"/>
        <v>0</v>
      </c>
      <c r="Q210" s="397">
        <f t="shared" si="135"/>
        <v>0</v>
      </c>
      <c r="R210" s="397">
        <f t="shared" si="135"/>
        <v>0</v>
      </c>
      <c r="S210" s="366">
        <f t="shared" si="130"/>
        <v>0</v>
      </c>
    </row>
    <row r="211" spans="1:19">
      <c r="A211" s="206">
        <v>152</v>
      </c>
      <c r="B211" s="36"/>
      <c r="C211" s="9" t="s">
        <v>143</v>
      </c>
      <c r="D211" s="9"/>
      <c r="E211" s="18" t="s">
        <v>144</v>
      </c>
      <c r="F211" s="140" t="s">
        <v>142</v>
      </c>
      <c r="G211" s="365">
        <v>0</v>
      </c>
      <c r="H211" s="397">
        <f t="shared" si="128"/>
        <v>0</v>
      </c>
      <c r="I211" s="397">
        <f t="shared" si="128"/>
        <v>0</v>
      </c>
      <c r="J211" s="397">
        <f t="shared" ref="J211:R211" si="136">I211</f>
        <v>0</v>
      </c>
      <c r="K211" s="397">
        <f t="shared" si="136"/>
        <v>0</v>
      </c>
      <c r="L211" s="397">
        <f t="shared" si="136"/>
        <v>0</v>
      </c>
      <c r="M211" s="397">
        <f t="shared" si="136"/>
        <v>0</v>
      </c>
      <c r="N211" s="397">
        <f t="shared" si="136"/>
        <v>0</v>
      </c>
      <c r="O211" s="397">
        <f t="shared" si="136"/>
        <v>0</v>
      </c>
      <c r="P211" s="397">
        <f t="shared" si="136"/>
        <v>0</v>
      </c>
      <c r="Q211" s="397">
        <f t="shared" si="136"/>
        <v>0</v>
      </c>
      <c r="R211" s="397">
        <f t="shared" si="136"/>
        <v>0</v>
      </c>
      <c r="S211" s="366">
        <f t="shared" si="130"/>
        <v>0</v>
      </c>
    </row>
    <row r="212" spans="1:19">
      <c r="A212" s="206">
        <v>153</v>
      </c>
      <c r="B212" s="36"/>
      <c r="C212" s="9" t="s">
        <v>87</v>
      </c>
      <c r="D212" s="9"/>
      <c r="E212" s="18" t="s">
        <v>88</v>
      </c>
      <c r="F212" s="140" t="s">
        <v>142</v>
      </c>
      <c r="G212" s="365">
        <v>0</v>
      </c>
      <c r="H212" s="397">
        <f t="shared" si="128"/>
        <v>0</v>
      </c>
      <c r="I212" s="397">
        <f t="shared" si="128"/>
        <v>0</v>
      </c>
      <c r="J212" s="397">
        <f t="shared" ref="J212:R212" si="137">I212</f>
        <v>0</v>
      </c>
      <c r="K212" s="397">
        <f t="shared" si="137"/>
        <v>0</v>
      </c>
      <c r="L212" s="397">
        <f t="shared" si="137"/>
        <v>0</v>
      </c>
      <c r="M212" s="397">
        <f t="shared" si="137"/>
        <v>0</v>
      </c>
      <c r="N212" s="397">
        <f t="shared" si="137"/>
        <v>0</v>
      </c>
      <c r="O212" s="397">
        <f t="shared" si="137"/>
        <v>0</v>
      </c>
      <c r="P212" s="397">
        <f t="shared" si="137"/>
        <v>0</v>
      </c>
      <c r="Q212" s="397">
        <f t="shared" si="137"/>
        <v>0</v>
      </c>
      <c r="R212" s="397">
        <f t="shared" si="137"/>
        <v>0</v>
      </c>
      <c r="S212" s="366">
        <f t="shared" si="130"/>
        <v>0</v>
      </c>
    </row>
    <row r="213" spans="1:19">
      <c r="A213" s="206">
        <v>154</v>
      </c>
      <c r="B213" s="36"/>
      <c r="C213" s="9" t="s">
        <v>110</v>
      </c>
      <c r="D213" s="9"/>
      <c r="E213" s="18" t="s">
        <v>90</v>
      </c>
      <c r="F213" s="140" t="s">
        <v>142</v>
      </c>
      <c r="G213" s="365">
        <f>'Yr 1 Operating Statement of Act'!G216/12</f>
        <v>833.33333333333337</v>
      </c>
      <c r="H213" s="397">
        <f t="shared" si="128"/>
        <v>833.33333333333337</v>
      </c>
      <c r="I213" s="397">
        <f t="shared" si="128"/>
        <v>833.33333333333337</v>
      </c>
      <c r="J213" s="397">
        <f t="shared" ref="J213:R213" si="138">I213</f>
        <v>833.33333333333337</v>
      </c>
      <c r="K213" s="397">
        <f t="shared" si="138"/>
        <v>833.33333333333337</v>
      </c>
      <c r="L213" s="397">
        <f t="shared" si="138"/>
        <v>833.33333333333337</v>
      </c>
      <c r="M213" s="397">
        <f t="shared" si="138"/>
        <v>833.33333333333337</v>
      </c>
      <c r="N213" s="397">
        <f t="shared" si="138"/>
        <v>833.33333333333337</v>
      </c>
      <c r="O213" s="397">
        <f t="shared" si="138"/>
        <v>833.33333333333337</v>
      </c>
      <c r="P213" s="397">
        <f t="shared" si="138"/>
        <v>833.33333333333337</v>
      </c>
      <c r="Q213" s="397">
        <f t="shared" si="138"/>
        <v>833.33333333333337</v>
      </c>
      <c r="R213" s="397">
        <f t="shared" si="138"/>
        <v>833.33333333333337</v>
      </c>
      <c r="S213" s="366">
        <f t="shared" si="130"/>
        <v>10000</v>
      </c>
    </row>
    <row r="214" spans="1:19">
      <c r="A214" s="206">
        <v>155</v>
      </c>
      <c r="B214" s="36"/>
      <c r="C214" s="9" t="s">
        <v>242</v>
      </c>
      <c r="D214" s="9"/>
      <c r="E214" s="18" t="s">
        <v>243</v>
      </c>
      <c r="F214" s="140" t="s">
        <v>142</v>
      </c>
      <c r="G214" s="365">
        <f>'Yr 1 Operating Statement of Act'!G217/12</f>
        <v>291.66666666666669</v>
      </c>
      <c r="H214" s="397">
        <f t="shared" si="128"/>
        <v>291.66666666666669</v>
      </c>
      <c r="I214" s="397">
        <f t="shared" si="128"/>
        <v>291.66666666666669</v>
      </c>
      <c r="J214" s="397">
        <f t="shared" ref="J214:R214" si="139">I214</f>
        <v>291.66666666666669</v>
      </c>
      <c r="K214" s="397">
        <f t="shared" si="139"/>
        <v>291.66666666666669</v>
      </c>
      <c r="L214" s="397">
        <f t="shared" si="139"/>
        <v>291.66666666666669</v>
      </c>
      <c r="M214" s="397">
        <f t="shared" si="139"/>
        <v>291.66666666666669</v>
      </c>
      <c r="N214" s="397">
        <f t="shared" si="139"/>
        <v>291.66666666666669</v>
      </c>
      <c r="O214" s="397">
        <f t="shared" si="139"/>
        <v>291.66666666666669</v>
      </c>
      <c r="P214" s="397">
        <f t="shared" si="139"/>
        <v>291.66666666666669</v>
      </c>
      <c r="Q214" s="397">
        <f t="shared" si="139"/>
        <v>291.66666666666669</v>
      </c>
      <c r="R214" s="397">
        <f t="shared" si="139"/>
        <v>291.66666666666669</v>
      </c>
      <c r="S214" s="366">
        <f t="shared" si="130"/>
        <v>3499.9999999999995</v>
      </c>
    </row>
    <row r="215" spans="1:19">
      <c r="A215" s="206">
        <v>156</v>
      </c>
      <c r="B215" s="36"/>
      <c r="C215" s="9" t="s">
        <v>296</v>
      </c>
      <c r="D215" s="9"/>
      <c r="E215" s="18" t="s">
        <v>116</v>
      </c>
      <c r="F215" s="140" t="s">
        <v>142</v>
      </c>
      <c r="G215" s="365">
        <f>'Yr 1 Operating Statement of Act'!G218/12</f>
        <v>41.666666666666664</v>
      </c>
      <c r="H215" s="397">
        <f t="shared" si="128"/>
        <v>41.666666666666664</v>
      </c>
      <c r="I215" s="397">
        <f t="shared" si="128"/>
        <v>41.666666666666664</v>
      </c>
      <c r="J215" s="397">
        <f t="shared" ref="J215:R215" si="140">I215</f>
        <v>41.666666666666664</v>
      </c>
      <c r="K215" s="397">
        <f t="shared" si="140"/>
        <v>41.666666666666664</v>
      </c>
      <c r="L215" s="397">
        <f t="shared" si="140"/>
        <v>41.666666666666664</v>
      </c>
      <c r="M215" s="397">
        <f t="shared" si="140"/>
        <v>41.666666666666664</v>
      </c>
      <c r="N215" s="397">
        <f t="shared" si="140"/>
        <v>41.666666666666664</v>
      </c>
      <c r="O215" s="397">
        <f t="shared" si="140"/>
        <v>41.666666666666664</v>
      </c>
      <c r="P215" s="397">
        <f t="shared" si="140"/>
        <v>41.666666666666664</v>
      </c>
      <c r="Q215" s="397">
        <f t="shared" si="140"/>
        <v>41.666666666666664</v>
      </c>
      <c r="R215" s="397">
        <f t="shared" si="140"/>
        <v>41.666666666666664</v>
      </c>
      <c r="S215" s="366">
        <f t="shared" si="130"/>
        <v>500.00000000000006</v>
      </c>
    </row>
    <row r="216" spans="1:19">
      <c r="A216" s="206">
        <v>157</v>
      </c>
      <c r="B216" s="36"/>
      <c r="C216" s="9" t="s">
        <v>95</v>
      </c>
      <c r="D216" s="9"/>
      <c r="E216" s="18" t="s">
        <v>96</v>
      </c>
      <c r="F216" s="140" t="s">
        <v>142</v>
      </c>
      <c r="G216" s="365">
        <f>'Yr 1 Operating Statement of Act'!G219/12</f>
        <v>625</v>
      </c>
      <c r="H216" s="397">
        <f t="shared" si="128"/>
        <v>625</v>
      </c>
      <c r="I216" s="397">
        <f t="shared" si="128"/>
        <v>625</v>
      </c>
      <c r="J216" s="397">
        <f t="shared" ref="J216:R216" si="141">I216</f>
        <v>625</v>
      </c>
      <c r="K216" s="397">
        <f t="shared" si="141"/>
        <v>625</v>
      </c>
      <c r="L216" s="397">
        <f t="shared" si="141"/>
        <v>625</v>
      </c>
      <c r="M216" s="397">
        <f t="shared" si="141"/>
        <v>625</v>
      </c>
      <c r="N216" s="397">
        <f t="shared" si="141"/>
        <v>625</v>
      </c>
      <c r="O216" s="397">
        <f t="shared" si="141"/>
        <v>625</v>
      </c>
      <c r="P216" s="397">
        <f t="shared" si="141"/>
        <v>625</v>
      </c>
      <c r="Q216" s="397">
        <f t="shared" si="141"/>
        <v>625</v>
      </c>
      <c r="R216" s="397">
        <f t="shared" si="141"/>
        <v>625</v>
      </c>
      <c r="S216" s="366">
        <f t="shared" si="130"/>
        <v>7500</v>
      </c>
    </row>
    <row r="217" spans="1:19">
      <c r="A217" s="206">
        <v>158</v>
      </c>
      <c r="B217" s="36"/>
      <c r="C217" s="9" t="s">
        <v>295</v>
      </c>
      <c r="D217" s="9"/>
      <c r="E217" s="18" t="s">
        <v>97</v>
      </c>
      <c r="F217" s="140" t="s">
        <v>11</v>
      </c>
      <c r="G217" s="365">
        <f>'Yr 1 Operating Statement of Act'!G220/12</f>
        <v>1618.3333333333333</v>
      </c>
      <c r="H217" s="397">
        <f t="shared" si="128"/>
        <v>1618.3333333333333</v>
      </c>
      <c r="I217" s="397">
        <f t="shared" si="128"/>
        <v>1618.3333333333333</v>
      </c>
      <c r="J217" s="397">
        <f t="shared" ref="J217:R217" si="142">I217</f>
        <v>1618.3333333333333</v>
      </c>
      <c r="K217" s="397">
        <f t="shared" si="142"/>
        <v>1618.3333333333333</v>
      </c>
      <c r="L217" s="397">
        <f t="shared" si="142"/>
        <v>1618.3333333333333</v>
      </c>
      <c r="M217" s="397">
        <f t="shared" si="142"/>
        <v>1618.3333333333333</v>
      </c>
      <c r="N217" s="397">
        <f t="shared" si="142"/>
        <v>1618.3333333333333</v>
      </c>
      <c r="O217" s="397">
        <f t="shared" si="142"/>
        <v>1618.3333333333333</v>
      </c>
      <c r="P217" s="397">
        <f t="shared" si="142"/>
        <v>1618.3333333333333</v>
      </c>
      <c r="Q217" s="397">
        <f t="shared" si="142"/>
        <v>1618.3333333333333</v>
      </c>
      <c r="R217" s="397">
        <f t="shared" si="142"/>
        <v>1618.3333333333333</v>
      </c>
      <c r="S217" s="366">
        <f t="shared" si="130"/>
        <v>19420</v>
      </c>
    </row>
    <row r="218" spans="1:19">
      <c r="A218" s="206">
        <v>159</v>
      </c>
      <c r="B218" s="36"/>
      <c r="C218" s="9" t="s">
        <v>98</v>
      </c>
      <c r="D218" s="9"/>
      <c r="E218" s="18" t="s">
        <v>99</v>
      </c>
      <c r="F218" s="140" t="s">
        <v>11</v>
      </c>
      <c r="G218" s="365">
        <f>'Yr 1 Operating Statement of Act'!G221/12</f>
        <v>1992.7988333333333</v>
      </c>
      <c r="H218" s="397">
        <f t="shared" si="128"/>
        <v>1992.7988333333333</v>
      </c>
      <c r="I218" s="397">
        <f t="shared" si="128"/>
        <v>1992.7988333333333</v>
      </c>
      <c r="J218" s="397">
        <f t="shared" ref="J218:R218" si="143">I218</f>
        <v>1992.7988333333333</v>
      </c>
      <c r="K218" s="397">
        <f t="shared" si="143"/>
        <v>1992.7988333333333</v>
      </c>
      <c r="L218" s="397">
        <f t="shared" si="143"/>
        <v>1992.7988333333333</v>
      </c>
      <c r="M218" s="397">
        <f t="shared" si="143"/>
        <v>1992.7988333333333</v>
      </c>
      <c r="N218" s="397">
        <f t="shared" si="143"/>
        <v>1992.7988333333333</v>
      </c>
      <c r="O218" s="397">
        <f t="shared" si="143"/>
        <v>1992.7988333333333</v>
      </c>
      <c r="P218" s="397">
        <f t="shared" si="143"/>
        <v>1992.7988333333333</v>
      </c>
      <c r="Q218" s="397">
        <f t="shared" si="143"/>
        <v>1992.7988333333333</v>
      </c>
      <c r="R218" s="397">
        <f t="shared" si="143"/>
        <v>1992.7988333333333</v>
      </c>
      <c r="S218" s="366">
        <f t="shared" si="130"/>
        <v>23913.586000000007</v>
      </c>
    </row>
    <row r="219" spans="1:19">
      <c r="A219" s="206">
        <v>160</v>
      </c>
      <c r="B219" s="36"/>
      <c r="C219" s="9" t="s">
        <v>100</v>
      </c>
      <c r="D219" s="9"/>
      <c r="E219" s="18" t="s">
        <v>101</v>
      </c>
      <c r="F219" s="140" t="s">
        <v>11</v>
      </c>
      <c r="G219" s="365">
        <f>'Yr 1 Operating Statement of Act'!G222/12</f>
        <v>466.05779166666667</v>
      </c>
      <c r="H219" s="397">
        <f t="shared" si="128"/>
        <v>466.05779166666667</v>
      </c>
      <c r="I219" s="397">
        <f t="shared" si="128"/>
        <v>466.05779166666667</v>
      </c>
      <c r="J219" s="397">
        <f t="shared" ref="J219:R219" si="144">I219</f>
        <v>466.05779166666667</v>
      </c>
      <c r="K219" s="397">
        <f t="shared" si="144"/>
        <v>466.05779166666667</v>
      </c>
      <c r="L219" s="397">
        <f t="shared" si="144"/>
        <v>466.05779166666667</v>
      </c>
      <c r="M219" s="397">
        <f t="shared" si="144"/>
        <v>466.05779166666667</v>
      </c>
      <c r="N219" s="397">
        <f t="shared" si="144"/>
        <v>466.05779166666667</v>
      </c>
      <c r="O219" s="397">
        <f t="shared" si="144"/>
        <v>466.05779166666667</v>
      </c>
      <c r="P219" s="397">
        <f t="shared" si="144"/>
        <v>466.05779166666667</v>
      </c>
      <c r="Q219" s="397">
        <f t="shared" si="144"/>
        <v>466.05779166666667</v>
      </c>
      <c r="R219" s="397">
        <f t="shared" si="144"/>
        <v>466.05779166666667</v>
      </c>
      <c r="S219" s="366">
        <f t="shared" si="130"/>
        <v>5592.6935000000012</v>
      </c>
    </row>
    <row r="220" spans="1:19">
      <c r="A220" s="206">
        <v>161</v>
      </c>
      <c r="B220" s="36"/>
      <c r="C220" s="9" t="s">
        <v>219</v>
      </c>
      <c r="D220" s="9"/>
      <c r="E220" s="18" t="s">
        <v>220</v>
      </c>
      <c r="F220" s="140" t="s">
        <v>11</v>
      </c>
      <c r="G220" s="365">
        <f>'Yr 1 Operating Statement of Act'!G223/12</f>
        <v>642.83833333333337</v>
      </c>
      <c r="H220" s="397">
        <f t="shared" si="128"/>
        <v>642.83833333333337</v>
      </c>
      <c r="I220" s="397">
        <f t="shared" si="128"/>
        <v>642.83833333333337</v>
      </c>
      <c r="J220" s="397">
        <f t="shared" ref="J220:R220" si="145">I220</f>
        <v>642.83833333333337</v>
      </c>
      <c r="K220" s="397">
        <f t="shared" si="145"/>
        <v>642.83833333333337</v>
      </c>
      <c r="L220" s="397">
        <f t="shared" si="145"/>
        <v>642.83833333333337</v>
      </c>
      <c r="M220" s="397">
        <f t="shared" si="145"/>
        <v>642.83833333333337</v>
      </c>
      <c r="N220" s="397">
        <f t="shared" si="145"/>
        <v>642.83833333333337</v>
      </c>
      <c r="O220" s="397">
        <f t="shared" si="145"/>
        <v>642.83833333333337</v>
      </c>
      <c r="P220" s="397">
        <f t="shared" si="145"/>
        <v>642.83833333333337</v>
      </c>
      <c r="Q220" s="397">
        <f t="shared" si="145"/>
        <v>642.83833333333337</v>
      </c>
      <c r="R220" s="397">
        <f t="shared" si="145"/>
        <v>642.83833333333337</v>
      </c>
      <c r="S220" s="366">
        <f t="shared" si="130"/>
        <v>7714.0599999999986</v>
      </c>
    </row>
    <row r="221" spans="1:19">
      <c r="A221" s="206">
        <v>162</v>
      </c>
      <c r="B221" s="36"/>
      <c r="C221" s="9" t="s">
        <v>102</v>
      </c>
      <c r="D221" s="9"/>
      <c r="E221" s="18" t="s">
        <v>103</v>
      </c>
      <c r="F221" s="140" t="s">
        <v>11</v>
      </c>
      <c r="G221" s="365">
        <f>'Yr 1 Operating Statement of Act'!G224/12</f>
        <v>314.99078333333335</v>
      </c>
      <c r="H221" s="397">
        <f t="shared" si="128"/>
        <v>314.99078333333335</v>
      </c>
      <c r="I221" s="397">
        <f t="shared" si="128"/>
        <v>314.99078333333335</v>
      </c>
      <c r="J221" s="397">
        <f t="shared" ref="J221:R221" si="146">I221</f>
        <v>314.99078333333335</v>
      </c>
      <c r="K221" s="397">
        <f t="shared" si="146"/>
        <v>314.99078333333335</v>
      </c>
      <c r="L221" s="397">
        <f t="shared" si="146"/>
        <v>314.99078333333335</v>
      </c>
      <c r="M221" s="397">
        <f t="shared" si="146"/>
        <v>314.99078333333335</v>
      </c>
      <c r="N221" s="397">
        <f t="shared" si="146"/>
        <v>314.99078333333335</v>
      </c>
      <c r="O221" s="397">
        <f t="shared" si="146"/>
        <v>314.99078333333335</v>
      </c>
      <c r="P221" s="397">
        <f t="shared" si="146"/>
        <v>314.99078333333335</v>
      </c>
      <c r="Q221" s="397">
        <f t="shared" si="146"/>
        <v>314.99078333333335</v>
      </c>
      <c r="R221" s="397">
        <f t="shared" si="146"/>
        <v>314.99078333333335</v>
      </c>
      <c r="S221" s="366">
        <f t="shared" si="130"/>
        <v>3779.8893999999996</v>
      </c>
    </row>
    <row r="222" spans="1:19">
      <c r="A222" s="206">
        <v>163</v>
      </c>
      <c r="B222" s="36"/>
      <c r="C222" s="9" t="s">
        <v>104</v>
      </c>
      <c r="D222" s="9"/>
      <c r="E222" s="18" t="s">
        <v>105</v>
      </c>
      <c r="F222" s="140" t="s">
        <v>11</v>
      </c>
      <c r="G222" s="365">
        <f>'Yr 1 Operating Statement of Act'!G225/12</f>
        <v>241.06437500000001</v>
      </c>
      <c r="H222" s="397">
        <f t="shared" si="128"/>
        <v>241.06437500000001</v>
      </c>
      <c r="I222" s="397">
        <f t="shared" si="128"/>
        <v>241.06437500000001</v>
      </c>
      <c r="J222" s="397">
        <f t="shared" ref="J222:R222" si="147">I222</f>
        <v>241.06437500000001</v>
      </c>
      <c r="K222" s="397">
        <f t="shared" si="147"/>
        <v>241.06437500000001</v>
      </c>
      <c r="L222" s="397">
        <f t="shared" si="147"/>
        <v>241.06437500000001</v>
      </c>
      <c r="M222" s="397">
        <f t="shared" si="147"/>
        <v>241.06437500000001</v>
      </c>
      <c r="N222" s="397">
        <f t="shared" si="147"/>
        <v>241.06437500000001</v>
      </c>
      <c r="O222" s="397">
        <f t="shared" si="147"/>
        <v>241.06437500000001</v>
      </c>
      <c r="P222" s="397">
        <f t="shared" si="147"/>
        <v>241.06437500000001</v>
      </c>
      <c r="Q222" s="397">
        <f t="shared" si="147"/>
        <v>241.06437500000001</v>
      </c>
      <c r="R222" s="397">
        <f t="shared" si="147"/>
        <v>241.06437500000001</v>
      </c>
      <c r="S222" s="366">
        <f t="shared" si="130"/>
        <v>2892.7724999999996</v>
      </c>
    </row>
    <row r="223" spans="1:19">
      <c r="A223" s="206">
        <v>164</v>
      </c>
      <c r="B223" s="36"/>
      <c r="C223" s="85" t="s">
        <v>283</v>
      </c>
      <c r="D223" s="9"/>
      <c r="E223" s="18"/>
      <c r="F223" s="140"/>
      <c r="G223" s="365"/>
      <c r="H223" s="397"/>
      <c r="I223" s="397"/>
      <c r="J223" s="397"/>
      <c r="K223" s="397"/>
      <c r="L223" s="397"/>
      <c r="M223" s="397"/>
      <c r="N223" s="397"/>
      <c r="O223" s="397"/>
      <c r="P223" s="397"/>
      <c r="Q223" s="397"/>
      <c r="R223" s="366"/>
      <c r="S223" s="366">
        <f t="shared" si="130"/>
        <v>0</v>
      </c>
    </row>
    <row r="224" spans="1:19">
      <c r="A224" s="206">
        <v>165</v>
      </c>
      <c r="B224" s="36"/>
      <c r="C224" s="85"/>
      <c r="D224" s="9"/>
      <c r="E224" s="18"/>
      <c r="F224" s="140"/>
      <c r="G224" s="365"/>
      <c r="H224" s="397"/>
      <c r="I224" s="397"/>
      <c r="J224" s="397"/>
      <c r="K224" s="397"/>
      <c r="L224" s="397"/>
      <c r="M224" s="397"/>
      <c r="N224" s="397"/>
      <c r="O224" s="397"/>
      <c r="P224" s="397"/>
      <c r="Q224" s="397"/>
      <c r="R224" s="366"/>
      <c r="S224" s="366">
        <f t="shared" si="130"/>
        <v>0</v>
      </c>
    </row>
    <row r="225" spans="1:19">
      <c r="A225" s="206">
        <v>166</v>
      </c>
      <c r="B225" s="83"/>
      <c r="D225" s="13"/>
      <c r="E225" s="14"/>
      <c r="F225" s="148"/>
      <c r="G225" s="380"/>
      <c r="H225" s="405"/>
      <c r="I225" s="405"/>
      <c r="J225" s="405"/>
      <c r="K225" s="405"/>
      <c r="L225" s="405"/>
      <c r="M225" s="405"/>
      <c r="N225" s="405"/>
      <c r="O225" s="405"/>
      <c r="P225" s="405"/>
      <c r="Q225" s="405"/>
      <c r="R225" s="432"/>
      <c r="S225" s="366">
        <f t="shared" si="130"/>
        <v>0</v>
      </c>
    </row>
    <row r="226" spans="1:19">
      <c r="A226" s="207">
        <v>167</v>
      </c>
      <c r="B226" s="87" t="s">
        <v>145</v>
      </c>
      <c r="C226" s="51"/>
      <c r="D226" s="51"/>
      <c r="E226" s="49"/>
      <c r="F226" s="144"/>
      <c r="G226" s="384">
        <f t="shared" ref="G226:S226" si="148">SUM(G205:G225)</f>
        <v>39209.666783333334</v>
      </c>
      <c r="H226" s="408">
        <f t="shared" si="148"/>
        <v>39209.666783333334</v>
      </c>
      <c r="I226" s="408">
        <f t="shared" si="148"/>
        <v>39209.666783333334</v>
      </c>
      <c r="J226" s="408">
        <f t="shared" si="148"/>
        <v>39209.666783333334</v>
      </c>
      <c r="K226" s="408">
        <f t="shared" si="148"/>
        <v>39209.666783333334</v>
      </c>
      <c r="L226" s="408">
        <f t="shared" si="148"/>
        <v>39209.666783333334</v>
      </c>
      <c r="M226" s="408">
        <f t="shared" si="148"/>
        <v>39209.666783333334</v>
      </c>
      <c r="N226" s="408">
        <f t="shared" si="148"/>
        <v>39209.666783333334</v>
      </c>
      <c r="O226" s="408">
        <f t="shared" si="148"/>
        <v>39209.666783333334</v>
      </c>
      <c r="P226" s="408">
        <f t="shared" si="148"/>
        <v>39209.666783333334</v>
      </c>
      <c r="Q226" s="408">
        <f t="shared" si="148"/>
        <v>39209.666783333334</v>
      </c>
      <c r="R226" s="428">
        <f t="shared" si="148"/>
        <v>39209.666783333334</v>
      </c>
      <c r="S226" s="428">
        <f t="shared" si="148"/>
        <v>470516.00140000001</v>
      </c>
    </row>
    <row r="227" spans="1:19" ht="6.75" customHeight="1">
      <c r="A227" s="211"/>
      <c r="B227" s="35"/>
      <c r="C227" s="12"/>
      <c r="D227" s="12"/>
      <c r="E227" s="16"/>
      <c r="F227" s="152"/>
      <c r="G227" s="388"/>
      <c r="H227" s="411"/>
      <c r="I227" s="411"/>
      <c r="J227" s="411"/>
      <c r="K227" s="411"/>
      <c r="L227" s="411"/>
      <c r="M227" s="411"/>
      <c r="N227" s="411"/>
      <c r="O227" s="411"/>
      <c r="P227" s="411"/>
      <c r="Q227" s="411"/>
      <c r="R227" s="436"/>
      <c r="S227" s="436"/>
    </row>
    <row r="228" spans="1:19" s="4" customFormat="1">
      <c r="A228" s="206"/>
      <c r="B228" s="88" t="s">
        <v>27</v>
      </c>
      <c r="C228" s="53"/>
      <c r="D228" s="53"/>
      <c r="E228" s="63"/>
      <c r="F228" s="149"/>
      <c r="G228" s="381"/>
      <c r="H228" s="406"/>
      <c r="I228" s="406"/>
      <c r="J228" s="406"/>
      <c r="K228" s="406"/>
      <c r="L228" s="406"/>
      <c r="M228" s="406"/>
      <c r="N228" s="406"/>
      <c r="O228" s="406"/>
      <c r="P228" s="406"/>
      <c r="Q228" s="406"/>
      <c r="R228" s="433"/>
      <c r="S228" s="433"/>
    </row>
    <row r="229" spans="1:19">
      <c r="A229" s="206"/>
      <c r="B229" s="36">
        <v>90</v>
      </c>
      <c r="C229" s="9" t="s">
        <v>146</v>
      </c>
      <c r="D229" s="9"/>
      <c r="E229" s="67"/>
      <c r="F229" s="153"/>
      <c r="G229" s="389"/>
      <c r="H229" s="412"/>
      <c r="I229" s="412"/>
      <c r="J229" s="412"/>
      <c r="K229" s="412"/>
      <c r="L229" s="412"/>
      <c r="M229" s="412"/>
      <c r="N229" s="412"/>
      <c r="O229" s="412"/>
      <c r="P229" s="412"/>
      <c r="Q229" s="412"/>
      <c r="R229" s="437"/>
      <c r="S229" s="437"/>
    </row>
    <row r="230" spans="1:19">
      <c r="A230" s="206"/>
      <c r="B230" s="36"/>
      <c r="C230" s="9" t="s">
        <v>147</v>
      </c>
      <c r="D230" s="9"/>
      <c r="E230" s="71"/>
      <c r="F230" s="138"/>
      <c r="G230" s="390"/>
      <c r="H230" s="399"/>
      <c r="I230" s="399"/>
      <c r="J230" s="399"/>
      <c r="K230" s="399"/>
      <c r="L230" s="399"/>
      <c r="M230" s="399"/>
      <c r="N230" s="399"/>
      <c r="O230" s="399"/>
      <c r="P230" s="399"/>
      <c r="Q230" s="399"/>
      <c r="R230" s="424"/>
      <c r="S230" s="424"/>
    </row>
    <row r="231" spans="1:19">
      <c r="A231" s="206">
        <v>168</v>
      </c>
      <c r="B231" s="36"/>
      <c r="C231" s="9" t="s">
        <v>182</v>
      </c>
      <c r="D231" s="9" t="s">
        <v>76</v>
      </c>
      <c r="E231" s="18" t="s">
        <v>222</v>
      </c>
      <c r="F231" s="140" t="s">
        <v>244</v>
      </c>
      <c r="G231" s="365">
        <f>'Yr 1 Operating Statement of Act'!G234/12</f>
        <v>0</v>
      </c>
      <c r="H231" s="397">
        <f t="shared" ref="H231:I248" si="149">G231</f>
        <v>0</v>
      </c>
      <c r="I231" s="397">
        <f t="shared" si="149"/>
        <v>0</v>
      </c>
      <c r="J231" s="397">
        <f t="shared" ref="J231:R231" si="150">I231</f>
        <v>0</v>
      </c>
      <c r="K231" s="397">
        <f t="shared" si="150"/>
        <v>0</v>
      </c>
      <c r="L231" s="397">
        <f t="shared" si="150"/>
        <v>0</v>
      </c>
      <c r="M231" s="397">
        <f t="shared" si="150"/>
        <v>0</v>
      </c>
      <c r="N231" s="397">
        <f t="shared" si="150"/>
        <v>0</v>
      </c>
      <c r="O231" s="397">
        <f t="shared" si="150"/>
        <v>0</v>
      </c>
      <c r="P231" s="397">
        <f t="shared" si="150"/>
        <v>0</v>
      </c>
      <c r="Q231" s="397">
        <f t="shared" si="150"/>
        <v>0</v>
      </c>
      <c r="R231" s="397">
        <f t="shared" si="150"/>
        <v>0</v>
      </c>
      <c r="S231" s="366">
        <f t="shared" ref="S231:S250" si="151">SUM(G231:R231)</f>
        <v>0</v>
      </c>
    </row>
    <row r="232" spans="1:19">
      <c r="A232" s="206">
        <v>169</v>
      </c>
      <c r="B232" s="36"/>
      <c r="C232" s="9"/>
      <c r="D232" s="9" t="s">
        <v>83</v>
      </c>
      <c r="E232" s="18" t="s">
        <v>84</v>
      </c>
      <c r="F232" s="140" t="s">
        <v>148</v>
      </c>
      <c r="G232" s="365">
        <f>'Yr 1 Operating Statement of Act'!G235/12</f>
        <v>0</v>
      </c>
      <c r="H232" s="397">
        <f t="shared" si="149"/>
        <v>0</v>
      </c>
      <c r="I232" s="397">
        <f t="shared" si="149"/>
        <v>0</v>
      </c>
      <c r="J232" s="397">
        <f t="shared" ref="J232:R232" si="152">I232</f>
        <v>0</v>
      </c>
      <c r="K232" s="397">
        <f t="shared" si="152"/>
        <v>0</v>
      </c>
      <c r="L232" s="397">
        <f t="shared" si="152"/>
        <v>0</v>
      </c>
      <c r="M232" s="397">
        <f t="shared" si="152"/>
        <v>0</v>
      </c>
      <c r="N232" s="397">
        <f t="shared" si="152"/>
        <v>0</v>
      </c>
      <c r="O232" s="397">
        <f t="shared" si="152"/>
        <v>0</v>
      </c>
      <c r="P232" s="397">
        <f t="shared" si="152"/>
        <v>0</v>
      </c>
      <c r="Q232" s="397">
        <f t="shared" si="152"/>
        <v>0</v>
      </c>
      <c r="R232" s="397">
        <f t="shared" si="152"/>
        <v>0</v>
      </c>
      <c r="S232" s="366">
        <f t="shared" si="151"/>
        <v>0</v>
      </c>
    </row>
    <row r="233" spans="1:19">
      <c r="A233" s="206">
        <v>170</v>
      </c>
      <c r="B233" s="36"/>
      <c r="C233" s="9"/>
      <c r="D233" s="9" t="s">
        <v>297</v>
      </c>
      <c r="E233" s="18" t="s">
        <v>149</v>
      </c>
      <c r="F233" s="140" t="s">
        <v>148</v>
      </c>
      <c r="G233" s="365">
        <f>'Yr 1 Operating Statement of Act'!G236/12</f>
        <v>0</v>
      </c>
      <c r="H233" s="397">
        <f t="shared" si="149"/>
        <v>0</v>
      </c>
      <c r="I233" s="397">
        <f t="shared" si="149"/>
        <v>0</v>
      </c>
      <c r="J233" s="397">
        <f t="shared" ref="J233:R233" si="153">I233</f>
        <v>0</v>
      </c>
      <c r="K233" s="397">
        <f t="shared" si="153"/>
        <v>0</v>
      </c>
      <c r="L233" s="397">
        <f t="shared" si="153"/>
        <v>0</v>
      </c>
      <c r="M233" s="397">
        <f t="shared" si="153"/>
        <v>0</v>
      </c>
      <c r="N233" s="397">
        <f t="shared" si="153"/>
        <v>0</v>
      </c>
      <c r="O233" s="397">
        <f t="shared" si="153"/>
        <v>0</v>
      </c>
      <c r="P233" s="397">
        <f t="shared" si="153"/>
        <v>0</v>
      </c>
      <c r="Q233" s="397">
        <f t="shared" si="153"/>
        <v>0</v>
      </c>
      <c r="R233" s="397">
        <f t="shared" si="153"/>
        <v>0</v>
      </c>
      <c r="S233" s="366">
        <f t="shared" si="151"/>
        <v>0</v>
      </c>
    </row>
    <row r="234" spans="1:19">
      <c r="A234" s="206">
        <v>171</v>
      </c>
      <c r="B234" s="36"/>
      <c r="C234" s="9"/>
      <c r="D234" s="9" t="s">
        <v>85</v>
      </c>
      <c r="E234" s="18" t="s">
        <v>86</v>
      </c>
      <c r="F234" s="140" t="s">
        <v>148</v>
      </c>
      <c r="G234" s="365">
        <f>'Yr 1 Operating Statement of Act'!G237/12</f>
        <v>0</v>
      </c>
      <c r="H234" s="397">
        <f t="shared" si="149"/>
        <v>0</v>
      </c>
      <c r="I234" s="397">
        <f t="shared" si="149"/>
        <v>0</v>
      </c>
      <c r="J234" s="397">
        <f t="shared" ref="J234:R234" si="154">I234</f>
        <v>0</v>
      </c>
      <c r="K234" s="397">
        <f t="shared" si="154"/>
        <v>0</v>
      </c>
      <c r="L234" s="397">
        <f t="shared" si="154"/>
        <v>0</v>
      </c>
      <c r="M234" s="397">
        <f t="shared" si="154"/>
        <v>0</v>
      </c>
      <c r="N234" s="397">
        <f t="shared" si="154"/>
        <v>0</v>
      </c>
      <c r="O234" s="397">
        <f t="shared" si="154"/>
        <v>0</v>
      </c>
      <c r="P234" s="397">
        <f t="shared" si="154"/>
        <v>0</v>
      </c>
      <c r="Q234" s="397">
        <f t="shared" si="154"/>
        <v>0</v>
      </c>
      <c r="R234" s="397">
        <f t="shared" si="154"/>
        <v>0</v>
      </c>
      <c r="S234" s="366">
        <f t="shared" si="151"/>
        <v>0</v>
      </c>
    </row>
    <row r="235" spans="1:19">
      <c r="A235" s="206">
        <v>172</v>
      </c>
      <c r="B235" s="36"/>
      <c r="C235" s="9"/>
      <c r="D235" s="9" t="s">
        <v>111</v>
      </c>
      <c r="E235" s="18" t="s">
        <v>112</v>
      </c>
      <c r="F235" s="140" t="s">
        <v>148</v>
      </c>
      <c r="G235" s="365">
        <f>'Yr 1 Operating Statement of Act'!G238/12</f>
        <v>0</v>
      </c>
      <c r="H235" s="397">
        <f t="shared" si="149"/>
        <v>0</v>
      </c>
      <c r="I235" s="397">
        <f t="shared" si="149"/>
        <v>0</v>
      </c>
      <c r="J235" s="397">
        <f t="shared" ref="J235:R235" si="155">I235</f>
        <v>0</v>
      </c>
      <c r="K235" s="397">
        <f t="shared" si="155"/>
        <v>0</v>
      </c>
      <c r="L235" s="397">
        <f t="shared" si="155"/>
        <v>0</v>
      </c>
      <c r="M235" s="397">
        <f t="shared" si="155"/>
        <v>0</v>
      </c>
      <c r="N235" s="397">
        <f t="shared" si="155"/>
        <v>0</v>
      </c>
      <c r="O235" s="397">
        <f t="shared" si="155"/>
        <v>0</v>
      </c>
      <c r="P235" s="397">
        <f t="shared" si="155"/>
        <v>0</v>
      </c>
      <c r="Q235" s="397">
        <f t="shared" si="155"/>
        <v>0</v>
      </c>
      <c r="R235" s="397">
        <f t="shared" si="155"/>
        <v>0</v>
      </c>
      <c r="S235" s="366">
        <f t="shared" si="151"/>
        <v>0</v>
      </c>
    </row>
    <row r="236" spans="1:19">
      <c r="A236" s="206">
        <v>173</v>
      </c>
      <c r="B236" s="36"/>
      <c r="C236" s="9"/>
      <c r="D236" s="9" t="s">
        <v>150</v>
      </c>
      <c r="E236" s="18" t="s">
        <v>144</v>
      </c>
      <c r="F236" s="140" t="s">
        <v>148</v>
      </c>
      <c r="G236" s="365">
        <f>'Yr 1 Operating Statement of Act'!G239/12</f>
        <v>125</v>
      </c>
      <c r="H236" s="397">
        <f t="shared" si="149"/>
        <v>125</v>
      </c>
      <c r="I236" s="397">
        <f t="shared" si="149"/>
        <v>125</v>
      </c>
      <c r="J236" s="397">
        <f t="shared" ref="J236:R236" si="156">I236</f>
        <v>125</v>
      </c>
      <c r="K236" s="397">
        <f t="shared" si="156"/>
        <v>125</v>
      </c>
      <c r="L236" s="397">
        <f t="shared" si="156"/>
        <v>125</v>
      </c>
      <c r="M236" s="397">
        <f t="shared" si="156"/>
        <v>125</v>
      </c>
      <c r="N236" s="397">
        <f t="shared" si="156"/>
        <v>125</v>
      </c>
      <c r="O236" s="397">
        <f t="shared" si="156"/>
        <v>125</v>
      </c>
      <c r="P236" s="397">
        <f t="shared" si="156"/>
        <v>125</v>
      </c>
      <c r="Q236" s="397">
        <f t="shared" si="156"/>
        <v>125</v>
      </c>
      <c r="R236" s="397">
        <f t="shared" si="156"/>
        <v>125</v>
      </c>
      <c r="S236" s="366">
        <f t="shared" si="151"/>
        <v>1500</v>
      </c>
    </row>
    <row r="237" spans="1:19">
      <c r="A237" s="206">
        <v>174</v>
      </c>
      <c r="B237" s="36"/>
      <c r="C237" s="9"/>
      <c r="D237" s="9" t="s">
        <v>131</v>
      </c>
      <c r="E237" s="18" t="s">
        <v>132</v>
      </c>
      <c r="F237" s="140" t="s">
        <v>148</v>
      </c>
      <c r="G237" s="365">
        <f>'Yr 1 Operating Statement of Act'!G240/12</f>
        <v>0</v>
      </c>
      <c r="H237" s="397">
        <f t="shared" si="149"/>
        <v>0</v>
      </c>
      <c r="I237" s="397">
        <f t="shared" si="149"/>
        <v>0</v>
      </c>
      <c r="J237" s="397">
        <f t="shared" ref="J237:R237" si="157">I237</f>
        <v>0</v>
      </c>
      <c r="K237" s="397">
        <f t="shared" si="157"/>
        <v>0</v>
      </c>
      <c r="L237" s="397">
        <f t="shared" si="157"/>
        <v>0</v>
      </c>
      <c r="M237" s="397">
        <f t="shared" si="157"/>
        <v>0</v>
      </c>
      <c r="N237" s="397">
        <f t="shared" si="157"/>
        <v>0</v>
      </c>
      <c r="O237" s="397">
        <f t="shared" si="157"/>
        <v>0</v>
      </c>
      <c r="P237" s="397">
        <f t="shared" si="157"/>
        <v>0</v>
      </c>
      <c r="Q237" s="397">
        <f t="shared" si="157"/>
        <v>0</v>
      </c>
      <c r="R237" s="397">
        <f t="shared" si="157"/>
        <v>0</v>
      </c>
      <c r="S237" s="366">
        <f t="shared" si="151"/>
        <v>0</v>
      </c>
    </row>
    <row r="238" spans="1:19">
      <c r="A238" s="206">
        <v>175</v>
      </c>
      <c r="B238" s="36"/>
      <c r="C238" s="9"/>
      <c r="D238" s="9" t="s">
        <v>87</v>
      </c>
      <c r="E238" s="18" t="s">
        <v>88</v>
      </c>
      <c r="F238" s="140" t="s">
        <v>148</v>
      </c>
      <c r="G238" s="365">
        <f>'Yr 1 Operating Statement of Act'!G241/12</f>
        <v>41.666666666666664</v>
      </c>
      <c r="H238" s="397">
        <f t="shared" si="149"/>
        <v>41.666666666666664</v>
      </c>
      <c r="I238" s="397">
        <f t="shared" si="149"/>
        <v>41.666666666666664</v>
      </c>
      <c r="J238" s="397">
        <f t="shared" ref="J238:R238" si="158">I238</f>
        <v>41.666666666666664</v>
      </c>
      <c r="K238" s="397">
        <f t="shared" si="158"/>
        <v>41.666666666666664</v>
      </c>
      <c r="L238" s="397">
        <f t="shared" si="158"/>
        <v>41.666666666666664</v>
      </c>
      <c r="M238" s="397">
        <f t="shared" si="158"/>
        <v>41.666666666666664</v>
      </c>
      <c r="N238" s="397">
        <f t="shared" si="158"/>
        <v>41.666666666666664</v>
      </c>
      <c r="O238" s="397">
        <f t="shared" si="158"/>
        <v>41.666666666666664</v>
      </c>
      <c r="P238" s="397">
        <f t="shared" si="158"/>
        <v>41.666666666666664</v>
      </c>
      <c r="Q238" s="397">
        <f t="shared" si="158"/>
        <v>41.666666666666664</v>
      </c>
      <c r="R238" s="397">
        <f t="shared" si="158"/>
        <v>41.666666666666664</v>
      </c>
      <c r="S238" s="366">
        <f t="shared" si="151"/>
        <v>500.00000000000006</v>
      </c>
    </row>
    <row r="239" spans="1:19">
      <c r="A239" s="206">
        <v>176</v>
      </c>
      <c r="B239" s="36"/>
      <c r="C239" s="9"/>
      <c r="D239" s="9" t="s">
        <v>110</v>
      </c>
      <c r="E239" s="18" t="s">
        <v>90</v>
      </c>
      <c r="F239" s="140" t="s">
        <v>148</v>
      </c>
      <c r="G239" s="365">
        <f>'Yr 1 Operating Statement of Act'!G242/12</f>
        <v>83.333333333333329</v>
      </c>
      <c r="H239" s="397">
        <f t="shared" si="149"/>
        <v>83.333333333333329</v>
      </c>
      <c r="I239" s="397">
        <f t="shared" si="149"/>
        <v>83.333333333333329</v>
      </c>
      <c r="J239" s="397">
        <f t="shared" ref="J239:R239" si="159">I239</f>
        <v>83.333333333333329</v>
      </c>
      <c r="K239" s="397">
        <f t="shared" si="159"/>
        <v>83.333333333333329</v>
      </c>
      <c r="L239" s="397">
        <f t="shared" si="159"/>
        <v>83.333333333333329</v>
      </c>
      <c r="M239" s="397">
        <f t="shared" si="159"/>
        <v>83.333333333333329</v>
      </c>
      <c r="N239" s="397">
        <f t="shared" si="159"/>
        <v>83.333333333333329</v>
      </c>
      <c r="O239" s="397">
        <f t="shared" si="159"/>
        <v>83.333333333333329</v>
      </c>
      <c r="P239" s="397">
        <f t="shared" si="159"/>
        <v>83.333333333333329</v>
      </c>
      <c r="Q239" s="397">
        <f t="shared" si="159"/>
        <v>83.333333333333329</v>
      </c>
      <c r="R239" s="397">
        <f t="shared" si="159"/>
        <v>83.333333333333329</v>
      </c>
      <c r="S239" s="366">
        <f t="shared" si="151"/>
        <v>1000.0000000000001</v>
      </c>
    </row>
    <row r="240" spans="1:19">
      <c r="A240" s="206">
        <v>177</v>
      </c>
      <c r="B240" s="36"/>
      <c r="C240" s="9"/>
      <c r="D240" s="9" t="s">
        <v>93</v>
      </c>
      <c r="E240" s="18" t="s">
        <v>94</v>
      </c>
      <c r="F240" s="140" t="s">
        <v>148</v>
      </c>
      <c r="G240" s="365">
        <f>'Yr 1 Operating Statement of Act'!G243/12</f>
        <v>83.333333333333329</v>
      </c>
      <c r="H240" s="397">
        <f t="shared" si="149"/>
        <v>83.333333333333329</v>
      </c>
      <c r="I240" s="397">
        <f t="shared" si="149"/>
        <v>83.333333333333329</v>
      </c>
      <c r="J240" s="397">
        <f t="shared" ref="J240:R240" si="160">I240</f>
        <v>83.333333333333329</v>
      </c>
      <c r="K240" s="397">
        <f t="shared" si="160"/>
        <v>83.333333333333329</v>
      </c>
      <c r="L240" s="397">
        <f t="shared" si="160"/>
        <v>83.333333333333329</v>
      </c>
      <c r="M240" s="397">
        <f t="shared" si="160"/>
        <v>83.333333333333329</v>
      </c>
      <c r="N240" s="397">
        <f t="shared" si="160"/>
        <v>83.333333333333329</v>
      </c>
      <c r="O240" s="397">
        <f t="shared" si="160"/>
        <v>83.333333333333329</v>
      </c>
      <c r="P240" s="397">
        <f t="shared" si="160"/>
        <v>83.333333333333329</v>
      </c>
      <c r="Q240" s="397">
        <f t="shared" si="160"/>
        <v>83.333333333333329</v>
      </c>
      <c r="R240" s="397">
        <f t="shared" si="160"/>
        <v>83.333333333333329</v>
      </c>
      <c r="S240" s="366">
        <f t="shared" si="151"/>
        <v>1000.0000000000001</v>
      </c>
    </row>
    <row r="241" spans="1:19">
      <c r="A241" s="206">
        <v>178</v>
      </c>
      <c r="B241" s="36"/>
      <c r="C241" s="9"/>
      <c r="D241" s="9" t="s">
        <v>151</v>
      </c>
      <c r="E241" s="18" t="s">
        <v>152</v>
      </c>
      <c r="F241" s="140" t="s">
        <v>153</v>
      </c>
      <c r="G241" s="365">
        <f>'Yr 1 Operating Statement of Act'!G244/12</f>
        <v>0</v>
      </c>
      <c r="H241" s="397">
        <f t="shared" si="149"/>
        <v>0</v>
      </c>
      <c r="I241" s="397">
        <f t="shared" si="149"/>
        <v>0</v>
      </c>
      <c r="J241" s="397">
        <f t="shared" ref="J241:R241" si="161">I241</f>
        <v>0</v>
      </c>
      <c r="K241" s="397">
        <f t="shared" si="161"/>
        <v>0</v>
      </c>
      <c r="L241" s="397">
        <f t="shared" si="161"/>
        <v>0</v>
      </c>
      <c r="M241" s="397">
        <f t="shared" si="161"/>
        <v>0</v>
      </c>
      <c r="N241" s="397">
        <f t="shared" si="161"/>
        <v>0</v>
      </c>
      <c r="O241" s="397">
        <f t="shared" si="161"/>
        <v>0</v>
      </c>
      <c r="P241" s="397">
        <f t="shared" si="161"/>
        <v>0</v>
      </c>
      <c r="Q241" s="397">
        <f t="shared" si="161"/>
        <v>0</v>
      </c>
      <c r="R241" s="397">
        <f t="shared" si="161"/>
        <v>0</v>
      </c>
      <c r="S241" s="366">
        <f t="shared" si="151"/>
        <v>0</v>
      </c>
    </row>
    <row r="242" spans="1:19">
      <c r="A242" s="206">
        <v>179</v>
      </c>
      <c r="B242" s="36"/>
      <c r="C242" s="9"/>
      <c r="D242" s="9" t="s">
        <v>95</v>
      </c>
      <c r="E242" s="18" t="s">
        <v>96</v>
      </c>
      <c r="F242" s="140" t="s">
        <v>148</v>
      </c>
      <c r="G242" s="365">
        <f>'Yr 1 Operating Statement of Act'!G245/12</f>
        <v>625</v>
      </c>
      <c r="H242" s="397">
        <f t="shared" si="149"/>
        <v>625</v>
      </c>
      <c r="I242" s="397">
        <f t="shared" si="149"/>
        <v>625</v>
      </c>
      <c r="J242" s="397">
        <f t="shared" ref="J242:R242" si="162">I242</f>
        <v>625</v>
      </c>
      <c r="K242" s="397">
        <f t="shared" si="162"/>
        <v>625</v>
      </c>
      <c r="L242" s="397">
        <f t="shared" si="162"/>
        <v>625</v>
      </c>
      <c r="M242" s="397">
        <f t="shared" si="162"/>
        <v>625</v>
      </c>
      <c r="N242" s="397">
        <f t="shared" si="162"/>
        <v>625</v>
      </c>
      <c r="O242" s="397">
        <f t="shared" si="162"/>
        <v>625</v>
      </c>
      <c r="P242" s="397">
        <f t="shared" si="162"/>
        <v>625</v>
      </c>
      <c r="Q242" s="397">
        <f t="shared" si="162"/>
        <v>625</v>
      </c>
      <c r="R242" s="397">
        <f t="shared" si="162"/>
        <v>625</v>
      </c>
      <c r="S242" s="366">
        <f t="shared" si="151"/>
        <v>7500</v>
      </c>
    </row>
    <row r="243" spans="1:19">
      <c r="A243" s="206">
        <v>180</v>
      </c>
      <c r="B243" s="36"/>
      <c r="C243" s="9"/>
      <c r="D243" s="9" t="s">
        <v>295</v>
      </c>
      <c r="E243" s="18" t="s">
        <v>97</v>
      </c>
      <c r="F243" s="140" t="s">
        <v>244</v>
      </c>
      <c r="G243" s="365">
        <f>'Yr 1 Operating Statement of Act'!G246/12</f>
        <v>323.66666666666669</v>
      </c>
      <c r="H243" s="397">
        <f t="shared" si="149"/>
        <v>323.66666666666669</v>
      </c>
      <c r="I243" s="397">
        <f t="shared" si="149"/>
        <v>323.66666666666669</v>
      </c>
      <c r="J243" s="397">
        <f t="shared" ref="J243:R243" si="163">I243</f>
        <v>323.66666666666669</v>
      </c>
      <c r="K243" s="397">
        <f t="shared" si="163"/>
        <v>323.66666666666669</v>
      </c>
      <c r="L243" s="397">
        <f t="shared" si="163"/>
        <v>323.66666666666669</v>
      </c>
      <c r="M243" s="397">
        <f t="shared" si="163"/>
        <v>323.66666666666669</v>
      </c>
      <c r="N243" s="397">
        <f t="shared" si="163"/>
        <v>323.66666666666669</v>
      </c>
      <c r="O243" s="397">
        <f t="shared" si="163"/>
        <v>323.66666666666669</v>
      </c>
      <c r="P243" s="397">
        <f t="shared" si="163"/>
        <v>323.66666666666669</v>
      </c>
      <c r="Q243" s="397">
        <f t="shared" si="163"/>
        <v>323.66666666666669</v>
      </c>
      <c r="R243" s="397">
        <f t="shared" si="163"/>
        <v>323.66666666666669</v>
      </c>
      <c r="S243" s="366">
        <f t="shared" si="151"/>
        <v>3883.9999999999995</v>
      </c>
    </row>
    <row r="244" spans="1:19">
      <c r="A244" s="206">
        <v>181</v>
      </c>
      <c r="B244" s="36"/>
      <c r="C244" s="9"/>
      <c r="D244" s="9" t="s">
        <v>98</v>
      </c>
      <c r="E244" s="18" t="s">
        <v>99</v>
      </c>
      <c r="F244" s="140" t="s">
        <v>244</v>
      </c>
      <c r="G244" s="365">
        <f>'Yr 1 Operating Statement of Act'!G247/12</f>
        <v>0</v>
      </c>
      <c r="H244" s="397">
        <f t="shared" si="149"/>
        <v>0</v>
      </c>
      <c r="I244" s="397">
        <f t="shared" si="149"/>
        <v>0</v>
      </c>
      <c r="J244" s="397">
        <f t="shared" ref="J244:R244" si="164">I244</f>
        <v>0</v>
      </c>
      <c r="K244" s="397">
        <f t="shared" si="164"/>
        <v>0</v>
      </c>
      <c r="L244" s="397">
        <f t="shared" si="164"/>
        <v>0</v>
      </c>
      <c r="M244" s="397">
        <f t="shared" si="164"/>
        <v>0</v>
      </c>
      <c r="N244" s="397">
        <f t="shared" si="164"/>
        <v>0</v>
      </c>
      <c r="O244" s="397">
        <f t="shared" si="164"/>
        <v>0</v>
      </c>
      <c r="P244" s="397">
        <f t="shared" si="164"/>
        <v>0</v>
      </c>
      <c r="Q244" s="397">
        <f t="shared" si="164"/>
        <v>0</v>
      </c>
      <c r="R244" s="397">
        <f t="shared" si="164"/>
        <v>0</v>
      </c>
      <c r="S244" s="366">
        <f t="shared" si="151"/>
        <v>0</v>
      </c>
    </row>
    <row r="245" spans="1:19">
      <c r="A245" s="206">
        <v>182</v>
      </c>
      <c r="B245" s="36"/>
      <c r="C245" s="9"/>
      <c r="D245" s="9" t="s">
        <v>100</v>
      </c>
      <c r="E245" s="18" t="s">
        <v>101</v>
      </c>
      <c r="F245" s="140" t="s">
        <v>244</v>
      </c>
      <c r="G245" s="365">
        <f>'Yr 1 Operating Statement of Act'!G248/12</f>
        <v>0</v>
      </c>
      <c r="H245" s="397">
        <f t="shared" si="149"/>
        <v>0</v>
      </c>
      <c r="I245" s="397">
        <f t="shared" si="149"/>
        <v>0</v>
      </c>
      <c r="J245" s="397">
        <f t="shared" ref="J245:R245" si="165">I245</f>
        <v>0</v>
      </c>
      <c r="K245" s="397">
        <f t="shared" si="165"/>
        <v>0</v>
      </c>
      <c r="L245" s="397">
        <f t="shared" si="165"/>
        <v>0</v>
      </c>
      <c r="M245" s="397">
        <f t="shared" si="165"/>
        <v>0</v>
      </c>
      <c r="N245" s="397">
        <f t="shared" si="165"/>
        <v>0</v>
      </c>
      <c r="O245" s="397">
        <f t="shared" si="165"/>
        <v>0</v>
      </c>
      <c r="P245" s="397">
        <f t="shared" si="165"/>
        <v>0</v>
      </c>
      <c r="Q245" s="397">
        <f t="shared" si="165"/>
        <v>0</v>
      </c>
      <c r="R245" s="397">
        <f t="shared" si="165"/>
        <v>0</v>
      </c>
      <c r="S245" s="366">
        <f t="shared" si="151"/>
        <v>0</v>
      </c>
    </row>
    <row r="246" spans="1:19">
      <c r="A246" s="206">
        <v>183</v>
      </c>
      <c r="B246" s="36"/>
      <c r="C246" s="9"/>
      <c r="D246" s="9" t="s">
        <v>219</v>
      </c>
      <c r="E246" s="18" t="s">
        <v>220</v>
      </c>
      <c r="F246" s="140" t="s">
        <v>244</v>
      </c>
      <c r="G246" s="365">
        <f>'Yr 1 Operating Statement of Act'!G249/12</f>
        <v>0</v>
      </c>
      <c r="H246" s="397">
        <f t="shared" si="149"/>
        <v>0</v>
      </c>
      <c r="I246" s="397">
        <f t="shared" si="149"/>
        <v>0</v>
      </c>
      <c r="J246" s="397">
        <f t="shared" ref="J246:R246" si="166">I246</f>
        <v>0</v>
      </c>
      <c r="K246" s="397">
        <f t="shared" si="166"/>
        <v>0</v>
      </c>
      <c r="L246" s="397">
        <f t="shared" si="166"/>
        <v>0</v>
      </c>
      <c r="M246" s="397">
        <f t="shared" si="166"/>
        <v>0</v>
      </c>
      <c r="N246" s="397">
        <f t="shared" si="166"/>
        <v>0</v>
      </c>
      <c r="O246" s="397">
        <f t="shared" si="166"/>
        <v>0</v>
      </c>
      <c r="P246" s="397">
        <f t="shared" si="166"/>
        <v>0</v>
      </c>
      <c r="Q246" s="397">
        <f t="shared" si="166"/>
        <v>0</v>
      </c>
      <c r="R246" s="397">
        <f t="shared" si="166"/>
        <v>0</v>
      </c>
      <c r="S246" s="366">
        <f t="shared" si="151"/>
        <v>0</v>
      </c>
    </row>
    <row r="247" spans="1:19">
      <c r="A247" s="206">
        <v>184</v>
      </c>
      <c r="B247" s="36"/>
      <c r="C247" s="9"/>
      <c r="D247" s="9" t="s">
        <v>102</v>
      </c>
      <c r="E247" s="18" t="s">
        <v>103</v>
      </c>
      <c r="F247" s="140" t="s">
        <v>244</v>
      </c>
      <c r="G247" s="365">
        <f>'Yr 1 Operating Statement of Act'!G250/12</f>
        <v>0</v>
      </c>
      <c r="H247" s="397">
        <f t="shared" si="149"/>
        <v>0</v>
      </c>
      <c r="I247" s="397">
        <f t="shared" si="149"/>
        <v>0</v>
      </c>
      <c r="J247" s="397">
        <f t="shared" ref="J247:R247" si="167">I247</f>
        <v>0</v>
      </c>
      <c r="K247" s="397">
        <f t="shared" si="167"/>
        <v>0</v>
      </c>
      <c r="L247" s="397">
        <f t="shared" si="167"/>
        <v>0</v>
      </c>
      <c r="M247" s="397">
        <f t="shared" si="167"/>
        <v>0</v>
      </c>
      <c r="N247" s="397">
        <f t="shared" si="167"/>
        <v>0</v>
      </c>
      <c r="O247" s="397">
        <f t="shared" si="167"/>
        <v>0</v>
      </c>
      <c r="P247" s="397">
        <f t="shared" si="167"/>
        <v>0</v>
      </c>
      <c r="Q247" s="397">
        <f t="shared" si="167"/>
        <v>0</v>
      </c>
      <c r="R247" s="397">
        <f t="shared" si="167"/>
        <v>0</v>
      </c>
      <c r="S247" s="366">
        <f t="shared" si="151"/>
        <v>0</v>
      </c>
    </row>
    <row r="248" spans="1:19">
      <c r="A248" s="206">
        <v>185</v>
      </c>
      <c r="B248" s="36"/>
      <c r="C248" s="9"/>
      <c r="D248" s="9" t="s">
        <v>104</v>
      </c>
      <c r="E248" s="18" t="s">
        <v>105</v>
      </c>
      <c r="F248" s="140" t="s">
        <v>244</v>
      </c>
      <c r="G248" s="365">
        <f>'Yr 1 Operating Statement of Act'!G251/12</f>
        <v>0</v>
      </c>
      <c r="H248" s="397">
        <f t="shared" si="149"/>
        <v>0</v>
      </c>
      <c r="I248" s="397">
        <f t="shared" si="149"/>
        <v>0</v>
      </c>
      <c r="J248" s="397">
        <f t="shared" ref="J248:R248" si="168">I248</f>
        <v>0</v>
      </c>
      <c r="K248" s="397">
        <f t="shared" si="168"/>
        <v>0</v>
      </c>
      <c r="L248" s="397">
        <f t="shared" si="168"/>
        <v>0</v>
      </c>
      <c r="M248" s="397">
        <f t="shared" si="168"/>
        <v>0</v>
      </c>
      <c r="N248" s="397">
        <f t="shared" si="168"/>
        <v>0</v>
      </c>
      <c r="O248" s="397">
        <f t="shared" si="168"/>
        <v>0</v>
      </c>
      <c r="P248" s="397">
        <f t="shared" si="168"/>
        <v>0</v>
      </c>
      <c r="Q248" s="397">
        <f t="shared" si="168"/>
        <v>0</v>
      </c>
      <c r="R248" s="397">
        <f t="shared" si="168"/>
        <v>0</v>
      </c>
      <c r="S248" s="366">
        <f t="shared" si="151"/>
        <v>0</v>
      </c>
    </row>
    <row r="249" spans="1:19">
      <c r="A249" s="206">
        <v>186</v>
      </c>
      <c r="B249" s="36"/>
      <c r="C249" s="85"/>
      <c r="D249" s="9"/>
      <c r="E249" s="18"/>
      <c r="F249" s="140"/>
      <c r="G249" s="365"/>
      <c r="H249" s="397"/>
      <c r="I249" s="397"/>
      <c r="J249" s="397"/>
      <c r="K249" s="397"/>
      <c r="L249" s="397"/>
      <c r="M249" s="397"/>
      <c r="N249" s="397"/>
      <c r="O249" s="397"/>
      <c r="P249" s="397"/>
      <c r="Q249" s="397"/>
      <c r="R249" s="366"/>
      <c r="S249" s="366">
        <f t="shared" si="151"/>
        <v>0</v>
      </c>
    </row>
    <row r="250" spans="1:19">
      <c r="A250" s="206">
        <v>187</v>
      </c>
      <c r="B250" s="83"/>
      <c r="D250" s="13"/>
      <c r="E250" s="14"/>
      <c r="F250" s="148"/>
      <c r="G250" s="380"/>
      <c r="H250" s="405"/>
      <c r="I250" s="405"/>
      <c r="J250" s="405"/>
      <c r="K250" s="405"/>
      <c r="L250" s="405"/>
      <c r="M250" s="405"/>
      <c r="N250" s="405"/>
      <c r="O250" s="405"/>
      <c r="P250" s="405"/>
      <c r="Q250" s="405"/>
      <c r="R250" s="432"/>
      <c r="S250" s="366">
        <f t="shared" si="151"/>
        <v>0</v>
      </c>
    </row>
    <row r="251" spans="1:19">
      <c r="A251" s="207">
        <v>188</v>
      </c>
      <c r="B251" s="87" t="s">
        <v>154</v>
      </c>
      <c r="C251" s="6"/>
      <c r="D251" s="6"/>
      <c r="E251" s="49"/>
      <c r="F251" s="144"/>
      <c r="G251" s="384">
        <f t="shared" ref="G251:S251" si="169">SUM(G231:G250)</f>
        <v>1282</v>
      </c>
      <c r="H251" s="408">
        <f t="shared" si="169"/>
        <v>1282</v>
      </c>
      <c r="I251" s="408">
        <f t="shared" si="169"/>
        <v>1282</v>
      </c>
      <c r="J251" s="408">
        <f t="shared" si="169"/>
        <v>1282</v>
      </c>
      <c r="K251" s="408">
        <f t="shared" si="169"/>
        <v>1282</v>
      </c>
      <c r="L251" s="408">
        <f t="shared" si="169"/>
        <v>1282</v>
      </c>
      <c r="M251" s="408">
        <f t="shared" si="169"/>
        <v>1282</v>
      </c>
      <c r="N251" s="408">
        <f t="shared" si="169"/>
        <v>1282</v>
      </c>
      <c r="O251" s="408">
        <f t="shared" si="169"/>
        <v>1282</v>
      </c>
      <c r="P251" s="408">
        <f t="shared" si="169"/>
        <v>1282</v>
      </c>
      <c r="Q251" s="408">
        <f t="shared" si="169"/>
        <v>1282</v>
      </c>
      <c r="R251" s="428">
        <f t="shared" si="169"/>
        <v>1282</v>
      </c>
      <c r="S251" s="428">
        <f t="shared" si="169"/>
        <v>15384</v>
      </c>
    </row>
    <row r="252" spans="1:19">
      <c r="A252" s="211"/>
      <c r="B252" s="35"/>
      <c r="C252" s="12"/>
      <c r="D252" s="12"/>
      <c r="E252" s="71"/>
      <c r="F252" s="138"/>
      <c r="G252" s="390"/>
      <c r="H252" s="399"/>
      <c r="I252" s="399"/>
      <c r="J252" s="399"/>
      <c r="K252" s="399"/>
      <c r="L252" s="399"/>
      <c r="M252" s="399"/>
      <c r="N252" s="399"/>
      <c r="O252" s="399"/>
      <c r="P252" s="399"/>
      <c r="Q252" s="399"/>
      <c r="R252" s="424"/>
      <c r="S252" s="424"/>
    </row>
    <row r="253" spans="1:19" s="4" customFormat="1">
      <c r="A253" s="206"/>
      <c r="B253" s="88" t="s">
        <v>28</v>
      </c>
      <c r="C253" s="53"/>
      <c r="D253" s="53"/>
      <c r="E253" s="77"/>
      <c r="F253" s="151"/>
      <c r="G253" s="386"/>
      <c r="H253" s="409"/>
      <c r="I253" s="409"/>
      <c r="J253" s="409"/>
      <c r="K253" s="409"/>
      <c r="L253" s="409"/>
      <c r="M253" s="409"/>
      <c r="N253" s="409"/>
      <c r="O253" s="409"/>
      <c r="P253" s="409"/>
      <c r="Q253" s="409"/>
      <c r="R253" s="435"/>
      <c r="S253" s="435"/>
    </row>
    <row r="254" spans="1:19">
      <c r="A254" s="206">
        <v>189</v>
      </c>
      <c r="B254" s="36"/>
      <c r="C254" s="9" t="s">
        <v>298</v>
      </c>
      <c r="D254" s="9"/>
      <c r="E254" s="18" t="s">
        <v>222</v>
      </c>
      <c r="F254" s="140" t="s">
        <v>245</v>
      </c>
      <c r="G254" s="365">
        <f>'Yr 1 Operating Statement of Act'!G257/12</f>
        <v>0</v>
      </c>
      <c r="H254" s="397">
        <f t="shared" ref="H254:I261" si="170">G254</f>
        <v>0</v>
      </c>
      <c r="I254" s="397">
        <f t="shared" si="170"/>
        <v>0</v>
      </c>
      <c r="J254" s="397">
        <f t="shared" ref="J254:R254" si="171">I254</f>
        <v>0</v>
      </c>
      <c r="K254" s="397">
        <f t="shared" si="171"/>
        <v>0</v>
      </c>
      <c r="L254" s="397">
        <f t="shared" si="171"/>
        <v>0</v>
      </c>
      <c r="M254" s="397">
        <f t="shared" si="171"/>
        <v>0</v>
      </c>
      <c r="N254" s="397">
        <f t="shared" si="171"/>
        <v>0</v>
      </c>
      <c r="O254" s="397">
        <f t="shared" si="171"/>
        <v>0</v>
      </c>
      <c r="P254" s="397">
        <f t="shared" si="171"/>
        <v>0</v>
      </c>
      <c r="Q254" s="397">
        <f t="shared" si="171"/>
        <v>0</v>
      </c>
      <c r="R254" s="397">
        <f t="shared" si="171"/>
        <v>0</v>
      </c>
      <c r="S254" s="366">
        <f t="shared" ref="S254:S261" si="172">SUM(G254:R254)</f>
        <v>0</v>
      </c>
    </row>
    <row r="255" spans="1:19">
      <c r="A255" s="206">
        <v>190</v>
      </c>
      <c r="B255" s="36"/>
      <c r="C255" s="9" t="s">
        <v>83</v>
      </c>
      <c r="D255" s="9"/>
      <c r="E255" s="18" t="s">
        <v>84</v>
      </c>
      <c r="F255" s="140" t="s">
        <v>156</v>
      </c>
      <c r="G255" s="365">
        <f>'Yr 1 Operating Statement of Act'!G258/12</f>
        <v>0</v>
      </c>
      <c r="H255" s="397">
        <f t="shared" si="170"/>
        <v>0</v>
      </c>
      <c r="I255" s="397">
        <f t="shared" si="170"/>
        <v>0</v>
      </c>
      <c r="J255" s="397">
        <f t="shared" ref="J255:R255" si="173">I255</f>
        <v>0</v>
      </c>
      <c r="K255" s="397">
        <f t="shared" si="173"/>
        <v>0</v>
      </c>
      <c r="L255" s="397">
        <f t="shared" si="173"/>
        <v>0</v>
      </c>
      <c r="M255" s="397">
        <f t="shared" si="173"/>
        <v>0</v>
      </c>
      <c r="N255" s="397">
        <f t="shared" si="173"/>
        <v>0</v>
      </c>
      <c r="O255" s="397">
        <f t="shared" si="173"/>
        <v>0</v>
      </c>
      <c r="P255" s="397">
        <f t="shared" si="173"/>
        <v>0</v>
      </c>
      <c r="Q255" s="397">
        <f t="shared" si="173"/>
        <v>0</v>
      </c>
      <c r="R255" s="397">
        <f t="shared" si="173"/>
        <v>0</v>
      </c>
      <c r="S255" s="366">
        <f t="shared" si="172"/>
        <v>0</v>
      </c>
    </row>
    <row r="256" spans="1:19">
      <c r="A256" s="206">
        <v>191</v>
      </c>
      <c r="B256" s="36"/>
      <c r="C256" s="9" t="s">
        <v>111</v>
      </c>
      <c r="D256" s="9"/>
      <c r="E256" s="18" t="s">
        <v>112</v>
      </c>
      <c r="F256" s="140" t="s">
        <v>157</v>
      </c>
      <c r="G256" s="365">
        <f>'Yr 1 Operating Statement of Act'!G259/12</f>
        <v>0</v>
      </c>
      <c r="H256" s="397">
        <f t="shared" si="170"/>
        <v>0</v>
      </c>
      <c r="I256" s="397">
        <f t="shared" si="170"/>
        <v>0</v>
      </c>
      <c r="J256" s="397">
        <f t="shared" ref="J256:R256" si="174">I256</f>
        <v>0</v>
      </c>
      <c r="K256" s="397">
        <f t="shared" si="174"/>
        <v>0</v>
      </c>
      <c r="L256" s="397">
        <f t="shared" si="174"/>
        <v>0</v>
      </c>
      <c r="M256" s="397">
        <f t="shared" si="174"/>
        <v>0</v>
      </c>
      <c r="N256" s="397">
        <f t="shared" si="174"/>
        <v>0</v>
      </c>
      <c r="O256" s="397">
        <f t="shared" si="174"/>
        <v>0</v>
      </c>
      <c r="P256" s="397">
        <f t="shared" si="174"/>
        <v>0</v>
      </c>
      <c r="Q256" s="397">
        <f t="shared" si="174"/>
        <v>0</v>
      </c>
      <c r="R256" s="397">
        <f t="shared" si="174"/>
        <v>0</v>
      </c>
      <c r="S256" s="366">
        <f t="shared" si="172"/>
        <v>0</v>
      </c>
    </row>
    <row r="257" spans="1:19">
      <c r="A257" s="206">
        <v>192</v>
      </c>
      <c r="B257" s="36"/>
      <c r="C257" s="9" t="s">
        <v>158</v>
      </c>
      <c r="D257" s="9"/>
      <c r="E257" s="18" t="s">
        <v>159</v>
      </c>
      <c r="F257" s="140" t="s">
        <v>156</v>
      </c>
      <c r="G257" s="365">
        <f>'Yr 1 Operating Statement of Act'!G260/12</f>
        <v>0</v>
      </c>
      <c r="H257" s="397">
        <f t="shared" si="170"/>
        <v>0</v>
      </c>
      <c r="I257" s="397">
        <f t="shared" si="170"/>
        <v>0</v>
      </c>
      <c r="J257" s="397">
        <f t="shared" ref="J257:R257" si="175">I257</f>
        <v>0</v>
      </c>
      <c r="K257" s="397">
        <f t="shared" si="175"/>
        <v>0</v>
      </c>
      <c r="L257" s="397">
        <f t="shared" si="175"/>
        <v>0</v>
      </c>
      <c r="M257" s="397">
        <f t="shared" si="175"/>
        <v>0</v>
      </c>
      <c r="N257" s="397">
        <f t="shared" si="175"/>
        <v>0</v>
      </c>
      <c r="O257" s="397">
        <f t="shared" si="175"/>
        <v>0</v>
      </c>
      <c r="P257" s="397">
        <f t="shared" si="175"/>
        <v>0</v>
      </c>
      <c r="Q257" s="397">
        <f t="shared" si="175"/>
        <v>0</v>
      </c>
      <c r="R257" s="397">
        <f t="shared" si="175"/>
        <v>0</v>
      </c>
      <c r="S257" s="366">
        <f t="shared" si="172"/>
        <v>0</v>
      </c>
    </row>
    <row r="258" spans="1:19">
      <c r="A258" s="206">
        <v>193</v>
      </c>
      <c r="B258" s="36"/>
      <c r="C258" s="9" t="s">
        <v>110</v>
      </c>
      <c r="D258" s="9"/>
      <c r="E258" s="18" t="s">
        <v>90</v>
      </c>
      <c r="F258" s="140" t="s">
        <v>156</v>
      </c>
      <c r="G258" s="365">
        <f>'Yr 1 Operating Statement of Act'!G261/12</f>
        <v>0</v>
      </c>
      <c r="H258" s="397">
        <f t="shared" si="170"/>
        <v>0</v>
      </c>
      <c r="I258" s="397">
        <f t="shared" si="170"/>
        <v>0</v>
      </c>
      <c r="J258" s="397">
        <f t="shared" ref="J258:R258" si="176">I258</f>
        <v>0</v>
      </c>
      <c r="K258" s="397">
        <f t="shared" si="176"/>
        <v>0</v>
      </c>
      <c r="L258" s="397">
        <f t="shared" si="176"/>
        <v>0</v>
      </c>
      <c r="M258" s="397">
        <f t="shared" si="176"/>
        <v>0</v>
      </c>
      <c r="N258" s="397">
        <f t="shared" si="176"/>
        <v>0</v>
      </c>
      <c r="O258" s="397">
        <f t="shared" si="176"/>
        <v>0</v>
      </c>
      <c r="P258" s="397">
        <f t="shared" si="176"/>
        <v>0</v>
      </c>
      <c r="Q258" s="397">
        <f t="shared" si="176"/>
        <v>0</v>
      </c>
      <c r="R258" s="397">
        <f t="shared" si="176"/>
        <v>0</v>
      </c>
      <c r="S258" s="366">
        <f t="shared" si="172"/>
        <v>0</v>
      </c>
    </row>
    <row r="259" spans="1:19">
      <c r="A259" s="206">
        <v>194</v>
      </c>
      <c r="B259" s="36"/>
      <c r="C259" s="9" t="s">
        <v>160</v>
      </c>
      <c r="D259" s="9"/>
      <c r="E259" s="18" t="s">
        <v>115</v>
      </c>
      <c r="F259" s="140" t="s">
        <v>156</v>
      </c>
      <c r="G259" s="365">
        <f>'Yr 1 Operating Statement of Act'!G262/12</f>
        <v>0</v>
      </c>
      <c r="H259" s="397">
        <f t="shared" si="170"/>
        <v>0</v>
      </c>
      <c r="I259" s="397">
        <f t="shared" si="170"/>
        <v>0</v>
      </c>
      <c r="J259" s="397">
        <f t="shared" ref="J259:R259" si="177">I259</f>
        <v>0</v>
      </c>
      <c r="K259" s="397">
        <f t="shared" si="177"/>
        <v>0</v>
      </c>
      <c r="L259" s="397">
        <f t="shared" si="177"/>
        <v>0</v>
      </c>
      <c r="M259" s="397">
        <f t="shared" si="177"/>
        <v>0</v>
      </c>
      <c r="N259" s="397">
        <f t="shared" si="177"/>
        <v>0</v>
      </c>
      <c r="O259" s="397">
        <f t="shared" si="177"/>
        <v>0</v>
      </c>
      <c r="P259" s="397">
        <f t="shared" si="177"/>
        <v>0</v>
      </c>
      <c r="Q259" s="397">
        <f t="shared" si="177"/>
        <v>0</v>
      </c>
      <c r="R259" s="397">
        <f t="shared" si="177"/>
        <v>0</v>
      </c>
      <c r="S259" s="366">
        <f t="shared" si="172"/>
        <v>0</v>
      </c>
    </row>
    <row r="260" spans="1:19">
      <c r="A260" s="206">
        <v>195</v>
      </c>
      <c r="B260" s="36"/>
      <c r="C260" s="9" t="s">
        <v>93</v>
      </c>
      <c r="D260" s="9"/>
      <c r="E260" s="18" t="s">
        <v>94</v>
      </c>
      <c r="F260" s="140" t="s">
        <v>156</v>
      </c>
      <c r="G260" s="365">
        <f>'Yr 1 Operating Statement of Act'!G263/12</f>
        <v>0</v>
      </c>
      <c r="H260" s="397">
        <f t="shared" si="170"/>
        <v>0</v>
      </c>
      <c r="I260" s="397">
        <f t="shared" si="170"/>
        <v>0</v>
      </c>
      <c r="J260" s="397">
        <f t="shared" ref="J260:R260" si="178">I260</f>
        <v>0</v>
      </c>
      <c r="K260" s="397">
        <f t="shared" si="178"/>
        <v>0</v>
      </c>
      <c r="L260" s="397">
        <f t="shared" si="178"/>
        <v>0</v>
      </c>
      <c r="M260" s="397">
        <f t="shared" si="178"/>
        <v>0</v>
      </c>
      <c r="N260" s="397">
        <f t="shared" si="178"/>
        <v>0</v>
      </c>
      <c r="O260" s="397">
        <f t="shared" si="178"/>
        <v>0</v>
      </c>
      <c r="P260" s="397">
        <f t="shared" si="178"/>
        <v>0</v>
      </c>
      <c r="Q260" s="397">
        <f t="shared" si="178"/>
        <v>0</v>
      </c>
      <c r="R260" s="397">
        <f t="shared" si="178"/>
        <v>0</v>
      </c>
      <c r="S260" s="366">
        <f t="shared" si="172"/>
        <v>0</v>
      </c>
    </row>
    <row r="261" spans="1:19">
      <c r="A261" s="206">
        <v>196</v>
      </c>
      <c r="B261" s="36"/>
      <c r="C261" s="9" t="s">
        <v>95</v>
      </c>
      <c r="D261" s="9"/>
      <c r="E261" s="18" t="s">
        <v>96</v>
      </c>
      <c r="F261" s="140" t="s">
        <v>156</v>
      </c>
      <c r="G261" s="365">
        <f>'Yr 1 Operating Statement of Act'!G264/12</f>
        <v>0</v>
      </c>
      <c r="H261" s="397">
        <f t="shared" si="170"/>
        <v>0</v>
      </c>
      <c r="I261" s="397">
        <f t="shared" si="170"/>
        <v>0</v>
      </c>
      <c r="J261" s="397">
        <f t="shared" ref="J261:R261" si="179">I261</f>
        <v>0</v>
      </c>
      <c r="K261" s="397">
        <f t="shared" si="179"/>
        <v>0</v>
      </c>
      <c r="L261" s="397">
        <f t="shared" si="179"/>
        <v>0</v>
      </c>
      <c r="M261" s="397">
        <f t="shared" si="179"/>
        <v>0</v>
      </c>
      <c r="N261" s="397">
        <f t="shared" si="179"/>
        <v>0</v>
      </c>
      <c r="O261" s="397">
        <f t="shared" si="179"/>
        <v>0</v>
      </c>
      <c r="P261" s="397">
        <f t="shared" si="179"/>
        <v>0</v>
      </c>
      <c r="Q261" s="397">
        <f t="shared" si="179"/>
        <v>0</v>
      </c>
      <c r="R261" s="397">
        <f t="shared" si="179"/>
        <v>0</v>
      </c>
      <c r="S261" s="366">
        <f t="shared" si="172"/>
        <v>0</v>
      </c>
    </row>
    <row r="262" spans="1:19">
      <c r="A262" s="206"/>
      <c r="B262" s="36"/>
      <c r="C262" s="9" t="s">
        <v>161</v>
      </c>
      <c r="D262" s="9"/>
      <c r="E262" s="61"/>
      <c r="F262" s="139"/>
      <c r="G262" s="383"/>
      <c r="H262" s="400"/>
      <c r="I262" s="400"/>
      <c r="J262" s="400"/>
      <c r="K262" s="400"/>
      <c r="L262" s="400"/>
      <c r="M262" s="400"/>
      <c r="N262" s="400"/>
      <c r="O262" s="400"/>
      <c r="P262" s="400"/>
      <c r="Q262" s="400"/>
      <c r="R262" s="400"/>
      <c r="S262" s="425"/>
    </row>
    <row r="263" spans="1:19">
      <c r="A263" s="206">
        <v>197</v>
      </c>
      <c r="B263" s="36"/>
      <c r="C263" s="9"/>
      <c r="D263" s="9" t="s">
        <v>162</v>
      </c>
      <c r="E263" s="18" t="s">
        <v>159</v>
      </c>
      <c r="F263" s="140" t="s">
        <v>155</v>
      </c>
      <c r="G263" s="365">
        <f>'Yr 1 Operating Statement of Act'!G266/12</f>
        <v>0</v>
      </c>
      <c r="H263" s="397">
        <f t="shared" ref="H263:I279" si="180">G263</f>
        <v>0</v>
      </c>
      <c r="I263" s="397">
        <f t="shared" si="180"/>
        <v>0</v>
      </c>
      <c r="J263" s="397">
        <f t="shared" ref="J263:R263" si="181">I263</f>
        <v>0</v>
      </c>
      <c r="K263" s="397">
        <f t="shared" si="181"/>
        <v>0</v>
      </c>
      <c r="L263" s="397">
        <f t="shared" si="181"/>
        <v>0</v>
      </c>
      <c r="M263" s="397">
        <f t="shared" si="181"/>
        <v>0</v>
      </c>
      <c r="N263" s="397">
        <f t="shared" si="181"/>
        <v>0</v>
      </c>
      <c r="O263" s="397">
        <f t="shared" si="181"/>
        <v>0</v>
      </c>
      <c r="P263" s="397">
        <f t="shared" si="181"/>
        <v>0</v>
      </c>
      <c r="Q263" s="397">
        <f t="shared" si="181"/>
        <v>0</v>
      </c>
      <c r="R263" s="397">
        <f t="shared" si="181"/>
        <v>0</v>
      </c>
      <c r="S263" s="366">
        <f t="shared" ref="S263:S282" si="182">SUM(G263:R263)</f>
        <v>0</v>
      </c>
    </row>
    <row r="264" spans="1:19">
      <c r="A264" s="206">
        <v>198</v>
      </c>
      <c r="B264" s="36"/>
      <c r="C264" s="9"/>
      <c r="D264" s="9" t="s">
        <v>163</v>
      </c>
      <c r="E264" s="18" t="s">
        <v>164</v>
      </c>
      <c r="F264" s="140" t="s">
        <v>155</v>
      </c>
      <c r="G264" s="365">
        <f>'Yr 1 Operating Statement of Act'!G267/12</f>
        <v>625</v>
      </c>
      <c r="H264" s="397">
        <f t="shared" si="180"/>
        <v>625</v>
      </c>
      <c r="I264" s="397">
        <f t="shared" si="180"/>
        <v>625</v>
      </c>
      <c r="J264" s="397">
        <f t="shared" ref="J264:R264" si="183">I264</f>
        <v>625</v>
      </c>
      <c r="K264" s="397">
        <f t="shared" si="183"/>
        <v>625</v>
      </c>
      <c r="L264" s="397">
        <f t="shared" si="183"/>
        <v>625</v>
      </c>
      <c r="M264" s="397">
        <f t="shared" si="183"/>
        <v>625</v>
      </c>
      <c r="N264" s="397">
        <f t="shared" si="183"/>
        <v>625</v>
      </c>
      <c r="O264" s="397">
        <f t="shared" si="183"/>
        <v>625</v>
      </c>
      <c r="P264" s="397">
        <f t="shared" si="183"/>
        <v>625</v>
      </c>
      <c r="Q264" s="397">
        <f t="shared" si="183"/>
        <v>625</v>
      </c>
      <c r="R264" s="397">
        <f t="shared" si="183"/>
        <v>625</v>
      </c>
      <c r="S264" s="366">
        <f t="shared" si="182"/>
        <v>7500</v>
      </c>
    </row>
    <row r="265" spans="1:19">
      <c r="A265" s="206">
        <v>199</v>
      </c>
      <c r="B265" s="36"/>
      <c r="C265" s="9"/>
      <c r="D265" s="9" t="s">
        <v>165</v>
      </c>
      <c r="E265" s="18" t="s">
        <v>166</v>
      </c>
      <c r="F265" s="140" t="s">
        <v>155</v>
      </c>
      <c r="G265" s="365">
        <v>0</v>
      </c>
      <c r="H265" s="397">
        <f>'Yr 1 Operating Statement of Act'!G268/11</f>
        <v>541.90909090909088</v>
      </c>
      <c r="I265" s="397">
        <f t="shared" si="180"/>
        <v>541.90909090909088</v>
      </c>
      <c r="J265" s="397">
        <f t="shared" ref="J265:R265" si="184">I265</f>
        <v>541.90909090909088</v>
      </c>
      <c r="K265" s="397">
        <f t="shared" si="184"/>
        <v>541.90909090909088</v>
      </c>
      <c r="L265" s="397">
        <f t="shared" si="184"/>
        <v>541.90909090909088</v>
      </c>
      <c r="M265" s="397">
        <f t="shared" si="184"/>
        <v>541.90909090909088</v>
      </c>
      <c r="N265" s="397">
        <f t="shared" si="184"/>
        <v>541.90909090909088</v>
      </c>
      <c r="O265" s="397">
        <f t="shared" si="184"/>
        <v>541.90909090909088</v>
      </c>
      <c r="P265" s="397">
        <f t="shared" si="184"/>
        <v>541.90909090909088</v>
      </c>
      <c r="Q265" s="397">
        <f t="shared" si="184"/>
        <v>541.90909090909088</v>
      </c>
      <c r="R265" s="397">
        <f t="shared" si="184"/>
        <v>541.90909090909088</v>
      </c>
      <c r="S265" s="366">
        <f t="shared" si="182"/>
        <v>5961</v>
      </c>
    </row>
    <row r="266" spans="1:19">
      <c r="A266" s="206">
        <v>200</v>
      </c>
      <c r="B266" s="36"/>
      <c r="C266" s="9"/>
      <c r="D266" s="9" t="s">
        <v>167</v>
      </c>
      <c r="E266" s="18" t="s">
        <v>168</v>
      </c>
      <c r="F266" s="140" t="s">
        <v>155</v>
      </c>
      <c r="G266" s="365">
        <v>0</v>
      </c>
      <c r="H266" s="397">
        <f>'Yr 1 Operating Statement of Act'!G269/11</f>
        <v>10750</v>
      </c>
      <c r="I266" s="397">
        <f t="shared" si="180"/>
        <v>10750</v>
      </c>
      <c r="J266" s="397">
        <f t="shared" ref="J266:R266" si="185">I266</f>
        <v>10750</v>
      </c>
      <c r="K266" s="397">
        <f t="shared" si="185"/>
        <v>10750</v>
      </c>
      <c r="L266" s="397">
        <f t="shared" si="185"/>
        <v>10750</v>
      </c>
      <c r="M266" s="397">
        <f t="shared" si="185"/>
        <v>10750</v>
      </c>
      <c r="N266" s="397">
        <f t="shared" si="185"/>
        <v>10750</v>
      </c>
      <c r="O266" s="397">
        <f t="shared" si="185"/>
        <v>10750</v>
      </c>
      <c r="P266" s="397">
        <f t="shared" si="185"/>
        <v>10750</v>
      </c>
      <c r="Q266" s="397">
        <f t="shared" si="185"/>
        <v>10750</v>
      </c>
      <c r="R266" s="397">
        <f t="shared" si="185"/>
        <v>10750</v>
      </c>
      <c r="S266" s="366">
        <f t="shared" si="182"/>
        <v>118250</v>
      </c>
    </row>
    <row r="267" spans="1:19">
      <c r="A267" s="206">
        <v>201</v>
      </c>
      <c r="B267" s="36"/>
      <c r="C267" s="9"/>
      <c r="D267" s="9" t="s">
        <v>85</v>
      </c>
      <c r="E267" s="18" t="s">
        <v>86</v>
      </c>
      <c r="F267" s="140" t="s">
        <v>155</v>
      </c>
      <c r="G267" s="365">
        <v>0</v>
      </c>
      <c r="H267" s="397">
        <f>'Yr 1 Operating Statement of Act'!G270/11</f>
        <v>2500</v>
      </c>
      <c r="I267" s="397">
        <f t="shared" si="180"/>
        <v>2500</v>
      </c>
      <c r="J267" s="397">
        <f t="shared" ref="J267:R267" si="186">I267</f>
        <v>2500</v>
      </c>
      <c r="K267" s="397">
        <f t="shared" si="186"/>
        <v>2500</v>
      </c>
      <c r="L267" s="397">
        <f t="shared" si="186"/>
        <v>2500</v>
      </c>
      <c r="M267" s="397">
        <f t="shared" si="186"/>
        <v>2500</v>
      </c>
      <c r="N267" s="397">
        <f t="shared" si="186"/>
        <v>2500</v>
      </c>
      <c r="O267" s="397">
        <f t="shared" si="186"/>
        <v>2500</v>
      </c>
      <c r="P267" s="397">
        <f t="shared" si="186"/>
        <v>2500</v>
      </c>
      <c r="Q267" s="397">
        <f t="shared" si="186"/>
        <v>2500</v>
      </c>
      <c r="R267" s="397">
        <f t="shared" si="186"/>
        <v>2500</v>
      </c>
      <c r="S267" s="366">
        <f t="shared" si="182"/>
        <v>27500</v>
      </c>
    </row>
    <row r="268" spans="1:19">
      <c r="A268" s="206">
        <v>202</v>
      </c>
      <c r="B268" s="36"/>
      <c r="C268" s="9"/>
      <c r="D268" s="9" t="s">
        <v>169</v>
      </c>
      <c r="E268" s="18" t="s">
        <v>170</v>
      </c>
      <c r="F268" s="140" t="s">
        <v>155</v>
      </c>
      <c r="G268" s="365">
        <f>'Yr 1 Operating Statement of Act'!G271/12</f>
        <v>2750</v>
      </c>
      <c r="H268" s="397">
        <f t="shared" si="180"/>
        <v>2750</v>
      </c>
      <c r="I268" s="397">
        <f t="shared" si="180"/>
        <v>2750</v>
      </c>
      <c r="J268" s="397">
        <f t="shared" ref="J268:R268" si="187">I268</f>
        <v>2750</v>
      </c>
      <c r="K268" s="397">
        <f t="shared" si="187"/>
        <v>2750</v>
      </c>
      <c r="L268" s="397">
        <f t="shared" si="187"/>
        <v>2750</v>
      </c>
      <c r="M268" s="397">
        <f t="shared" si="187"/>
        <v>2750</v>
      </c>
      <c r="N268" s="397">
        <f t="shared" si="187"/>
        <v>2750</v>
      </c>
      <c r="O268" s="397">
        <f t="shared" si="187"/>
        <v>2750</v>
      </c>
      <c r="P268" s="397">
        <f t="shared" si="187"/>
        <v>2750</v>
      </c>
      <c r="Q268" s="397">
        <f t="shared" si="187"/>
        <v>2750</v>
      </c>
      <c r="R268" s="397">
        <f t="shared" si="187"/>
        <v>2750</v>
      </c>
      <c r="S268" s="366">
        <f t="shared" si="182"/>
        <v>33000</v>
      </c>
    </row>
    <row r="269" spans="1:19">
      <c r="A269" s="206">
        <v>203</v>
      </c>
      <c r="B269" s="36"/>
      <c r="C269" s="9"/>
      <c r="D269" s="9" t="s">
        <v>171</v>
      </c>
      <c r="E269" s="18" t="s">
        <v>144</v>
      </c>
      <c r="F269" s="140" t="s">
        <v>155</v>
      </c>
      <c r="G269" s="365">
        <v>0</v>
      </c>
      <c r="H269" s="397">
        <f>'Yr 1 Operating Statement of Act'!G272/11</f>
        <v>1181.8181818181818</v>
      </c>
      <c r="I269" s="397">
        <f t="shared" si="180"/>
        <v>1181.8181818181818</v>
      </c>
      <c r="J269" s="397">
        <f t="shared" ref="J269:R269" si="188">I269</f>
        <v>1181.8181818181818</v>
      </c>
      <c r="K269" s="397">
        <f t="shared" si="188"/>
        <v>1181.8181818181818</v>
      </c>
      <c r="L269" s="397">
        <f t="shared" si="188"/>
        <v>1181.8181818181818</v>
      </c>
      <c r="M269" s="397">
        <f t="shared" si="188"/>
        <v>1181.8181818181818</v>
      </c>
      <c r="N269" s="397">
        <f t="shared" si="188"/>
        <v>1181.8181818181818</v>
      </c>
      <c r="O269" s="397">
        <f t="shared" si="188"/>
        <v>1181.8181818181818</v>
      </c>
      <c r="P269" s="397">
        <f t="shared" si="188"/>
        <v>1181.8181818181818</v>
      </c>
      <c r="Q269" s="397">
        <f t="shared" si="188"/>
        <v>1181.8181818181818</v>
      </c>
      <c r="R269" s="397">
        <f t="shared" si="188"/>
        <v>1181.8181818181818</v>
      </c>
      <c r="S269" s="366">
        <f t="shared" si="182"/>
        <v>13000</v>
      </c>
    </row>
    <row r="270" spans="1:19">
      <c r="A270" s="206">
        <v>204</v>
      </c>
      <c r="B270" s="36"/>
      <c r="C270" s="9"/>
      <c r="D270" s="9" t="s">
        <v>248</v>
      </c>
      <c r="E270" s="18" t="s">
        <v>249</v>
      </c>
      <c r="F270" s="140" t="s">
        <v>155</v>
      </c>
      <c r="G270" s="365">
        <f>'Yr 1 Operating Statement of Act'!G273/12</f>
        <v>6095.833333333333</v>
      </c>
      <c r="H270" s="397">
        <f t="shared" si="180"/>
        <v>6095.833333333333</v>
      </c>
      <c r="I270" s="397">
        <f t="shared" si="180"/>
        <v>6095.833333333333</v>
      </c>
      <c r="J270" s="397">
        <f t="shared" ref="J270:R270" si="189">I270</f>
        <v>6095.833333333333</v>
      </c>
      <c r="K270" s="397">
        <f t="shared" si="189"/>
        <v>6095.833333333333</v>
      </c>
      <c r="L270" s="397">
        <f t="shared" si="189"/>
        <v>6095.833333333333</v>
      </c>
      <c r="M270" s="397">
        <f t="shared" si="189"/>
        <v>6095.833333333333</v>
      </c>
      <c r="N270" s="397">
        <f t="shared" si="189"/>
        <v>6095.833333333333</v>
      </c>
      <c r="O270" s="397">
        <f t="shared" si="189"/>
        <v>6095.833333333333</v>
      </c>
      <c r="P270" s="397">
        <f t="shared" si="189"/>
        <v>6095.833333333333</v>
      </c>
      <c r="Q270" s="397">
        <f t="shared" si="189"/>
        <v>6095.833333333333</v>
      </c>
      <c r="R270" s="397">
        <f t="shared" si="189"/>
        <v>6095.833333333333</v>
      </c>
      <c r="S270" s="366">
        <f t="shared" si="182"/>
        <v>73150</v>
      </c>
    </row>
    <row r="271" spans="1:19">
      <c r="A271" s="206">
        <v>205</v>
      </c>
      <c r="B271" s="36"/>
      <c r="C271" s="9" t="s">
        <v>172</v>
      </c>
      <c r="D271" s="9"/>
      <c r="E271" s="18" t="s">
        <v>251</v>
      </c>
      <c r="F271" s="140">
        <v>2630</v>
      </c>
      <c r="G271" s="365">
        <f>'Yr 1 Operating Statement of Act'!G274/12</f>
        <v>0</v>
      </c>
      <c r="H271" s="397">
        <f t="shared" si="180"/>
        <v>0</v>
      </c>
      <c r="I271" s="397">
        <f t="shared" si="180"/>
        <v>0</v>
      </c>
      <c r="J271" s="397">
        <f t="shared" ref="J271:R271" si="190">I271</f>
        <v>0</v>
      </c>
      <c r="K271" s="397">
        <f t="shared" si="190"/>
        <v>0</v>
      </c>
      <c r="L271" s="397">
        <f t="shared" si="190"/>
        <v>0</v>
      </c>
      <c r="M271" s="397">
        <f t="shared" si="190"/>
        <v>0</v>
      </c>
      <c r="N271" s="397">
        <f t="shared" si="190"/>
        <v>0</v>
      </c>
      <c r="O271" s="397">
        <f t="shared" si="190"/>
        <v>0</v>
      </c>
      <c r="P271" s="397">
        <f t="shared" si="190"/>
        <v>0</v>
      </c>
      <c r="Q271" s="397">
        <f t="shared" si="190"/>
        <v>0</v>
      </c>
      <c r="R271" s="397">
        <f t="shared" si="190"/>
        <v>0</v>
      </c>
      <c r="S271" s="366">
        <f t="shared" si="182"/>
        <v>0</v>
      </c>
    </row>
    <row r="272" spans="1:19">
      <c r="A272" s="206">
        <v>206</v>
      </c>
      <c r="B272" s="36"/>
      <c r="C272" s="9" t="s">
        <v>173</v>
      </c>
      <c r="D272" s="9"/>
      <c r="E272" s="18" t="s">
        <v>251</v>
      </c>
      <c r="F272" s="140">
        <v>2640</v>
      </c>
      <c r="G272" s="365">
        <f>'Yr 1 Operating Statement of Act'!G275/12</f>
        <v>0</v>
      </c>
      <c r="H272" s="397">
        <f t="shared" si="180"/>
        <v>0</v>
      </c>
      <c r="I272" s="397">
        <f t="shared" si="180"/>
        <v>0</v>
      </c>
      <c r="J272" s="397">
        <f t="shared" ref="J272:R272" si="191">I272</f>
        <v>0</v>
      </c>
      <c r="K272" s="397">
        <f t="shared" si="191"/>
        <v>0</v>
      </c>
      <c r="L272" s="397">
        <f t="shared" si="191"/>
        <v>0</v>
      </c>
      <c r="M272" s="397">
        <f t="shared" si="191"/>
        <v>0</v>
      </c>
      <c r="N272" s="397">
        <f t="shared" si="191"/>
        <v>0</v>
      </c>
      <c r="O272" s="397">
        <f t="shared" si="191"/>
        <v>0</v>
      </c>
      <c r="P272" s="397">
        <f t="shared" si="191"/>
        <v>0</v>
      </c>
      <c r="Q272" s="397">
        <f t="shared" si="191"/>
        <v>0</v>
      </c>
      <c r="R272" s="397">
        <f t="shared" si="191"/>
        <v>0</v>
      </c>
      <c r="S272" s="366">
        <f t="shared" si="182"/>
        <v>0</v>
      </c>
    </row>
    <row r="273" spans="1:19">
      <c r="A273" s="206">
        <v>207</v>
      </c>
      <c r="B273" s="36"/>
      <c r="C273" s="9" t="s">
        <v>174</v>
      </c>
      <c r="D273" s="9"/>
      <c r="E273" s="18" t="s">
        <v>221</v>
      </c>
      <c r="F273" s="140" t="s">
        <v>245</v>
      </c>
      <c r="G273" s="365">
        <f>'Yr 1 Operating Statement of Act'!G276/12</f>
        <v>0</v>
      </c>
      <c r="H273" s="397">
        <f t="shared" si="180"/>
        <v>0</v>
      </c>
      <c r="I273" s="397">
        <f t="shared" si="180"/>
        <v>0</v>
      </c>
      <c r="J273" s="397">
        <f t="shared" ref="J273:R273" si="192">I273</f>
        <v>0</v>
      </c>
      <c r="K273" s="397">
        <f t="shared" si="192"/>
        <v>0</v>
      </c>
      <c r="L273" s="397">
        <f t="shared" si="192"/>
        <v>0</v>
      </c>
      <c r="M273" s="397">
        <f t="shared" si="192"/>
        <v>0</v>
      </c>
      <c r="N273" s="397">
        <f t="shared" si="192"/>
        <v>0</v>
      </c>
      <c r="O273" s="397">
        <f t="shared" si="192"/>
        <v>0</v>
      </c>
      <c r="P273" s="397">
        <f t="shared" si="192"/>
        <v>0</v>
      </c>
      <c r="Q273" s="397">
        <f t="shared" si="192"/>
        <v>0</v>
      </c>
      <c r="R273" s="397">
        <f t="shared" si="192"/>
        <v>0</v>
      </c>
      <c r="S273" s="366">
        <f t="shared" si="182"/>
        <v>0</v>
      </c>
    </row>
    <row r="274" spans="1:19">
      <c r="A274" s="206">
        <v>208</v>
      </c>
      <c r="B274" s="36"/>
      <c r="C274" s="9" t="s">
        <v>295</v>
      </c>
      <c r="D274" s="9"/>
      <c r="E274" s="18" t="s">
        <v>97</v>
      </c>
      <c r="F274" s="140" t="s">
        <v>245</v>
      </c>
      <c r="G274" s="365">
        <f>'Yr 1 Operating Statement of Act'!G277/12</f>
        <v>0</v>
      </c>
      <c r="H274" s="397">
        <f t="shared" si="180"/>
        <v>0</v>
      </c>
      <c r="I274" s="397">
        <f t="shared" si="180"/>
        <v>0</v>
      </c>
      <c r="J274" s="397">
        <f t="shared" ref="J274:R274" si="193">I274</f>
        <v>0</v>
      </c>
      <c r="K274" s="397">
        <f t="shared" si="193"/>
        <v>0</v>
      </c>
      <c r="L274" s="397">
        <f t="shared" si="193"/>
        <v>0</v>
      </c>
      <c r="M274" s="397">
        <f t="shared" si="193"/>
        <v>0</v>
      </c>
      <c r="N274" s="397">
        <f t="shared" si="193"/>
        <v>0</v>
      </c>
      <c r="O274" s="397">
        <f t="shared" si="193"/>
        <v>0</v>
      </c>
      <c r="P274" s="397">
        <f t="shared" si="193"/>
        <v>0</v>
      </c>
      <c r="Q274" s="397">
        <f t="shared" si="193"/>
        <v>0</v>
      </c>
      <c r="R274" s="397">
        <f t="shared" si="193"/>
        <v>0</v>
      </c>
      <c r="S274" s="366">
        <f t="shared" si="182"/>
        <v>0</v>
      </c>
    </row>
    <row r="275" spans="1:19">
      <c r="A275" s="206">
        <v>209</v>
      </c>
      <c r="B275" s="36"/>
      <c r="C275" s="9" t="s">
        <v>98</v>
      </c>
      <c r="D275" s="9"/>
      <c r="E275" s="18" t="s">
        <v>99</v>
      </c>
      <c r="F275" s="140" t="s">
        <v>245</v>
      </c>
      <c r="G275" s="365">
        <f>'Yr 1 Operating Statement of Act'!G278/12</f>
        <v>0</v>
      </c>
      <c r="H275" s="397">
        <f t="shared" si="180"/>
        <v>0</v>
      </c>
      <c r="I275" s="397">
        <f t="shared" si="180"/>
        <v>0</v>
      </c>
      <c r="J275" s="397">
        <f t="shared" ref="J275:R275" si="194">I275</f>
        <v>0</v>
      </c>
      <c r="K275" s="397">
        <f t="shared" si="194"/>
        <v>0</v>
      </c>
      <c r="L275" s="397">
        <f t="shared" si="194"/>
        <v>0</v>
      </c>
      <c r="M275" s="397">
        <f t="shared" si="194"/>
        <v>0</v>
      </c>
      <c r="N275" s="397">
        <f t="shared" si="194"/>
        <v>0</v>
      </c>
      <c r="O275" s="397">
        <f t="shared" si="194"/>
        <v>0</v>
      </c>
      <c r="P275" s="397">
        <f t="shared" si="194"/>
        <v>0</v>
      </c>
      <c r="Q275" s="397">
        <f t="shared" si="194"/>
        <v>0</v>
      </c>
      <c r="R275" s="397">
        <f t="shared" si="194"/>
        <v>0</v>
      </c>
      <c r="S275" s="366">
        <f t="shared" si="182"/>
        <v>0</v>
      </c>
    </row>
    <row r="276" spans="1:19">
      <c r="A276" s="206">
        <v>210</v>
      </c>
      <c r="B276" s="36"/>
      <c r="C276" s="9" t="s">
        <v>100</v>
      </c>
      <c r="D276" s="9"/>
      <c r="E276" s="18" t="s">
        <v>101</v>
      </c>
      <c r="F276" s="140" t="s">
        <v>245</v>
      </c>
      <c r="G276" s="365">
        <f>'Yr 1 Operating Statement of Act'!G279/12</f>
        <v>0</v>
      </c>
      <c r="H276" s="397">
        <f t="shared" si="180"/>
        <v>0</v>
      </c>
      <c r="I276" s="397">
        <f t="shared" si="180"/>
        <v>0</v>
      </c>
      <c r="J276" s="397">
        <f t="shared" ref="J276:R276" si="195">I276</f>
        <v>0</v>
      </c>
      <c r="K276" s="397">
        <f t="shared" si="195"/>
        <v>0</v>
      </c>
      <c r="L276" s="397">
        <f t="shared" si="195"/>
        <v>0</v>
      </c>
      <c r="M276" s="397">
        <f t="shared" si="195"/>
        <v>0</v>
      </c>
      <c r="N276" s="397">
        <f t="shared" si="195"/>
        <v>0</v>
      </c>
      <c r="O276" s="397">
        <f t="shared" si="195"/>
        <v>0</v>
      </c>
      <c r="P276" s="397">
        <f t="shared" si="195"/>
        <v>0</v>
      </c>
      <c r="Q276" s="397">
        <f t="shared" si="195"/>
        <v>0</v>
      </c>
      <c r="R276" s="397">
        <f t="shared" si="195"/>
        <v>0</v>
      </c>
      <c r="S276" s="366">
        <f t="shared" si="182"/>
        <v>0</v>
      </c>
    </row>
    <row r="277" spans="1:19">
      <c r="A277" s="206">
        <v>211</v>
      </c>
      <c r="B277" s="36"/>
      <c r="C277" s="9" t="s">
        <v>219</v>
      </c>
      <c r="D277" s="9"/>
      <c r="E277" s="18" t="s">
        <v>220</v>
      </c>
      <c r="F277" s="140" t="s">
        <v>245</v>
      </c>
      <c r="G277" s="365">
        <f>'Yr 1 Operating Statement of Act'!G280/12</f>
        <v>0</v>
      </c>
      <c r="H277" s="397">
        <f t="shared" si="180"/>
        <v>0</v>
      </c>
      <c r="I277" s="397">
        <f t="shared" si="180"/>
        <v>0</v>
      </c>
      <c r="J277" s="397">
        <f t="shared" ref="J277:R277" si="196">I277</f>
        <v>0</v>
      </c>
      <c r="K277" s="397">
        <f t="shared" si="196"/>
        <v>0</v>
      </c>
      <c r="L277" s="397">
        <f t="shared" si="196"/>
        <v>0</v>
      </c>
      <c r="M277" s="397">
        <f t="shared" si="196"/>
        <v>0</v>
      </c>
      <c r="N277" s="397">
        <f t="shared" si="196"/>
        <v>0</v>
      </c>
      <c r="O277" s="397">
        <f t="shared" si="196"/>
        <v>0</v>
      </c>
      <c r="P277" s="397">
        <f t="shared" si="196"/>
        <v>0</v>
      </c>
      <c r="Q277" s="397">
        <f t="shared" si="196"/>
        <v>0</v>
      </c>
      <c r="R277" s="397">
        <f t="shared" si="196"/>
        <v>0</v>
      </c>
      <c r="S277" s="366">
        <f t="shared" si="182"/>
        <v>0</v>
      </c>
    </row>
    <row r="278" spans="1:19">
      <c r="A278" s="206">
        <v>212</v>
      </c>
      <c r="B278" s="36"/>
      <c r="C278" s="9" t="s">
        <v>102</v>
      </c>
      <c r="D278" s="9"/>
      <c r="E278" s="18" t="s">
        <v>103</v>
      </c>
      <c r="F278" s="140" t="s">
        <v>245</v>
      </c>
      <c r="G278" s="365">
        <f>'Yr 1 Operating Statement of Act'!G281/12</f>
        <v>0</v>
      </c>
      <c r="H278" s="397">
        <f t="shared" si="180"/>
        <v>0</v>
      </c>
      <c r="I278" s="397">
        <f t="shared" si="180"/>
        <v>0</v>
      </c>
      <c r="J278" s="397">
        <f t="shared" ref="J278:R278" si="197">I278</f>
        <v>0</v>
      </c>
      <c r="K278" s="397">
        <f t="shared" si="197"/>
        <v>0</v>
      </c>
      <c r="L278" s="397">
        <f t="shared" si="197"/>
        <v>0</v>
      </c>
      <c r="M278" s="397">
        <f t="shared" si="197"/>
        <v>0</v>
      </c>
      <c r="N278" s="397">
        <f t="shared" si="197"/>
        <v>0</v>
      </c>
      <c r="O278" s="397">
        <f t="shared" si="197"/>
        <v>0</v>
      </c>
      <c r="P278" s="397">
        <f t="shared" si="197"/>
        <v>0</v>
      </c>
      <c r="Q278" s="397">
        <f t="shared" si="197"/>
        <v>0</v>
      </c>
      <c r="R278" s="397">
        <f t="shared" si="197"/>
        <v>0</v>
      </c>
      <c r="S278" s="366">
        <f t="shared" si="182"/>
        <v>0</v>
      </c>
    </row>
    <row r="279" spans="1:19">
      <c r="A279" s="206">
        <v>213</v>
      </c>
      <c r="B279" s="36"/>
      <c r="C279" s="9" t="s">
        <v>104</v>
      </c>
      <c r="D279" s="9"/>
      <c r="E279" s="18" t="s">
        <v>105</v>
      </c>
      <c r="F279" s="140" t="s">
        <v>245</v>
      </c>
      <c r="G279" s="365">
        <f>'Yr 1 Operating Statement of Act'!G282/12</f>
        <v>0</v>
      </c>
      <c r="H279" s="397">
        <f t="shared" si="180"/>
        <v>0</v>
      </c>
      <c r="I279" s="397">
        <f t="shared" si="180"/>
        <v>0</v>
      </c>
      <c r="J279" s="397">
        <f t="shared" ref="J279:R279" si="198">I279</f>
        <v>0</v>
      </c>
      <c r="K279" s="397">
        <f t="shared" si="198"/>
        <v>0</v>
      </c>
      <c r="L279" s="397">
        <f t="shared" si="198"/>
        <v>0</v>
      </c>
      <c r="M279" s="397">
        <f t="shared" si="198"/>
        <v>0</v>
      </c>
      <c r="N279" s="397">
        <f t="shared" si="198"/>
        <v>0</v>
      </c>
      <c r="O279" s="397">
        <f t="shared" si="198"/>
        <v>0</v>
      </c>
      <c r="P279" s="397">
        <f t="shared" si="198"/>
        <v>0</v>
      </c>
      <c r="Q279" s="397">
        <f t="shared" si="198"/>
        <v>0</v>
      </c>
      <c r="R279" s="397">
        <f t="shared" si="198"/>
        <v>0</v>
      </c>
      <c r="S279" s="366">
        <f t="shared" si="182"/>
        <v>0</v>
      </c>
    </row>
    <row r="280" spans="1:19">
      <c r="A280" s="206">
        <v>214</v>
      </c>
      <c r="B280" s="36"/>
      <c r="C280" s="85" t="s">
        <v>283</v>
      </c>
      <c r="D280" s="9"/>
      <c r="E280" s="18"/>
      <c r="F280" s="140"/>
      <c r="G280" s="365"/>
      <c r="H280" s="397"/>
      <c r="I280" s="397"/>
      <c r="J280" s="397"/>
      <c r="K280" s="397"/>
      <c r="L280" s="397"/>
      <c r="M280" s="397"/>
      <c r="N280" s="397"/>
      <c r="O280" s="397"/>
      <c r="P280" s="397"/>
      <c r="Q280" s="397"/>
      <c r="R280" s="366"/>
      <c r="S280" s="366">
        <f t="shared" si="182"/>
        <v>0</v>
      </c>
    </row>
    <row r="281" spans="1:19">
      <c r="A281" s="206">
        <v>215</v>
      </c>
      <c r="B281" s="36"/>
      <c r="C281" s="85"/>
      <c r="D281" s="9"/>
      <c r="E281" s="18"/>
      <c r="F281" s="140"/>
      <c r="G281" s="365"/>
      <c r="H281" s="397"/>
      <c r="I281" s="397"/>
      <c r="J281" s="397"/>
      <c r="K281" s="397"/>
      <c r="L281" s="397"/>
      <c r="M281" s="397"/>
      <c r="N281" s="397"/>
      <c r="O281" s="397"/>
      <c r="P281" s="397"/>
      <c r="Q281" s="397"/>
      <c r="R281" s="366"/>
      <c r="S281" s="366">
        <f t="shared" si="182"/>
        <v>0</v>
      </c>
    </row>
    <row r="282" spans="1:19">
      <c r="A282" s="206">
        <v>216</v>
      </c>
      <c r="B282" s="36"/>
      <c r="C282" s="9"/>
      <c r="D282" s="9"/>
      <c r="E282" s="18"/>
      <c r="F282" s="140"/>
      <c r="G282" s="365"/>
      <c r="H282" s="397"/>
      <c r="I282" s="397"/>
      <c r="J282" s="397"/>
      <c r="K282" s="397"/>
      <c r="L282" s="397"/>
      <c r="M282" s="397"/>
      <c r="N282" s="397"/>
      <c r="O282" s="397"/>
      <c r="P282" s="397"/>
      <c r="Q282" s="397"/>
      <c r="R282" s="366"/>
      <c r="S282" s="366">
        <f t="shared" si="182"/>
        <v>0</v>
      </c>
    </row>
    <row r="283" spans="1:19">
      <c r="A283" s="207">
        <v>217</v>
      </c>
      <c r="B283" s="87" t="s">
        <v>175</v>
      </c>
      <c r="C283" s="51"/>
      <c r="D283" s="51"/>
      <c r="E283" s="49"/>
      <c r="F283" s="144"/>
      <c r="G283" s="384">
        <f t="shared" ref="G283:S283" si="199">SUM(G254:G282)</f>
        <v>9470.8333333333321</v>
      </c>
      <c r="H283" s="408">
        <f t="shared" si="199"/>
        <v>24444.560606060604</v>
      </c>
      <c r="I283" s="408">
        <f t="shared" si="199"/>
        <v>24444.560606060604</v>
      </c>
      <c r="J283" s="408">
        <f t="shared" si="199"/>
        <v>24444.560606060604</v>
      </c>
      <c r="K283" s="408">
        <f t="shared" si="199"/>
        <v>24444.560606060604</v>
      </c>
      <c r="L283" s="408">
        <f t="shared" si="199"/>
        <v>24444.560606060604</v>
      </c>
      <c r="M283" s="408">
        <f t="shared" si="199"/>
        <v>24444.560606060604</v>
      </c>
      <c r="N283" s="408">
        <f t="shared" si="199"/>
        <v>24444.560606060604</v>
      </c>
      <c r="O283" s="408">
        <f t="shared" si="199"/>
        <v>24444.560606060604</v>
      </c>
      <c r="P283" s="408">
        <f t="shared" si="199"/>
        <v>24444.560606060604</v>
      </c>
      <c r="Q283" s="408">
        <f t="shared" si="199"/>
        <v>24444.560606060604</v>
      </c>
      <c r="R283" s="428">
        <f t="shared" si="199"/>
        <v>24444.560606060604</v>
      </c>
      <c r="S283" s="428">
        <f t="shared" si="199"/>
        <v>278361</v>
      </c>
    </row>
    <row r="284" spans="1:19">
      <c r="A284" s="206"/>
      <c r="B284" s="36"/>
      <c r="C284" s="9"/>
      <c r="D284" s="9"/>
      <c r="E284" s="61"/>
      <c r="F284" s="139"/>
      <c r="G284" s="383"/>
      <c r="H284" s="400"/>
      <c r="I284" s="400"/>
      <c r="J284" s="400"/>
      <c r="K284" s="400"/>
      <c r="L284" s="400"/>
      <c r="M284" s="400"/>
      <c r="N284" s="400"/>
      <c r="O284" s="400"/>
      <c r="P284" s="400"/>
      <c r="Q284" s="400"/>
      <c r="R284" s="425"/>
      <c r="S284" s="425"/>
    </row>
    <row r="285" spans="1:19" s="4" customFormat="1">
      <c r="A285" s="206"/>
      <c r="B285" s="88" t="s">
        <v>29</v>
      </c>
      <c r="C285" s="53"/>
      <c r="D285" s="53"/>
      <c r="E285" s="77"/>
      <c r="F285" s="151"/>
      <c r="G285" s="386"/>
      <c r="H285" s="409"/>
      <c r="I285" s="409"/>
      <c r="J285" s="409"/>
      <c r="K285" s="409"/>
      <c r="L285" s="409"/>
      <c r="M285" s="409"/>
      <c r="N285" s="409"/>
      <c r="O285" s="409"/>
      <c r="P285" s="409"/>
      <c r="Q285" s="409"/>
      <c r="R285" s="435"/>
      <c r="S285" s="435"/>
    </row>
    <row r="286" spans="1:19">
      <c r="A286" s="206">
        <v>218</v>
      </c>
      <c r="B286" s="36"/>
      <c r="C286" s="9" t="s">
        <v>83</v>
      </c>
      <c r="D286" s="9"/>
      <c r="E286" s="18" t="s">
        <v>246</v>
      </c>
      <c r="F286" s="140" t="s">
        <v>247</v>
      </c>
      <c r="G286" s="365"/>
      <c r="H286" s="397"/>
      <c r="I286" s="397">
        <f>'Yr 1 Operating Statement of Act'!G289/11</f>
        <v>19090.909090909092</v>
      </c>
      <c r="J286" s="397">
        <f>I286</f>
        <v>19090.909090909092</v>
      </c>
      <c r="K286" s="397">
        <f t="shared" ref="K286:R286" si="200">J286</f>
        <v>19090.909090909092</v>
      </c>
      <c r="L286" s="397">
        <f t="shared" si="200"/>
        <v>19090.909090909092</v>
      </c>
      <c r="M286" s="397">
        <f t="shared" si="200"/>
        <v>19090.909090909092</v>
      </c>
      <c r="N286" s="397">
        <f t="shared" si="200"/>
        <v>19090.909090909092</v>
      </c>
      <c r="O286" s="397">
        <f t="shared" si="200"/>
        <v>19090.909090909092</v>
      </c>
      <c r="P286" s="397">
        <f t="shared" si="200"/>
        <v>19090.909090909092</v>
      </c>
      <c r="Q286" s="397">
        <f t="shared" si="200"/>
        <v>19090.909090909092</v>
      </c>
      <c r="R286" s="397">
        <f t="shared" si="200"/>
        <v>19090.909090909092</v>
      </c>
      <c r="S286" s="366">
        <f>SUM(G286:R286)</f>
        <v>190909.09090909091</v>
      </c>
    </row>
    <row r="287" spans="1:19">
      <c r="A287" s="206"/>
      <c r="B287" s="36"/>
      <c r="C287" s="9" t="s">
        <v>176</v>
      </c>
      <c r="D287" s="9"/>
      <c r="E287" s="61"/>
      <c r="F287" s="139"/>
      <c r="G287" s="383"/>
      <c r="H287" s="400"/>
      <c r="I287" s="400"/>
      <c r="J287" s="400"/>
      <c r="K287" s="400"/>
      <c r="L287" s="400"/>
      <c r="M287" s="400"/>
      <c r="N287" s="400"/>
      <c r="O287" s="400"/>
      <c r="P287" s="400"/>
      <c r="Q287" s="400"/>
      <c r="R287" s="425"/>
      <c r="S287" s="425"/>
    </row>
    <row r="288" spans="1:19">
      <c r="A288" s="206">
        <v>219</v>
      </c>
      <c r="B288" s="36"/>
      <c r="C288" s="9" t="s">
        <v>33</v>
      </c>
      <c r="D288" s="9" t="s">
        <v>299</v>
      </c>
      <c r="E288" s="18" t="s">
        <v>222</v>
      </c>
      <c r="F288" s="140" t="s">
        <v>247</v>
      </c>
      <c r="G288" s="365">
        <f>'Yr 1 Operating Statement of Act'!G291/12</f>
        <v>0</v>
      </c>
      <c r="H288" s="397">
        <f t="shared" ref="H288:I301" si="201">G288</f>
        <v>0</v>
      </c>
      <c r="I288" s="397">
        <f t="shared" si="201"/>
        <v>0</v>
      </c>
      <c r="J288" s="397">
        <f t="shared" ref="J288:R288" si="202">I288</f>
        <v>0</v>
      </c>
      <c r="K288" s="397">
        <f t="shared" si="202"/>
        <v>0</v>
      </c>
      <c r="L288" s="397">
        <f t="shared" si="202"/>
        <v>0</v>
      </c>
      <c r="M288" s="397">
        <f t="shared" si="202"/>
        <v>0</v>
      </c>
      <c r="N288" s="397">
        <f t="shared" si="202"/>
        <v>0</v>
      </c>
      <c r="O288" s="397">
        <f t="shared" si="202"/>
        <v>0</v>
      </c>
      <c r="P288" s="397">
        <f t="shared" si="202"/>
        <v>0</v>
      </c>
      <c r="Q288" s="397">
        <f t="shared" si="202"/>
        <v>0</v>
      </c>
      <c r="R288" s="397">
        <f t="shared" si="202"/>
        <v>0</v>
      </c>
      <c r="S288" s="366">
        <f t="shared" ref="S288:S304" si="203">SUM(G288:R288)</f>
        <v>0</v>
      </c>
    </row>
    <row r="289" spans="1:19">
      <c r="A289" s="206">
        <v>220</v>
      </c>
      <c r="B289" s="36"/>
      <c r="C289" s="9"/>
      <c r="D289" s="9" t="s">
        <v>85</v>
      </c>
      <c r="E289" s="18" t="s">
        <v>86</v>
      </c>
      <c r="F289" s="140" t="s">
        <v>177</v>
      </c>
      <c r="G289" s="365">
        <f>'Yr 1 Operating Statement of Act'!G292/12</f>
        <v>0</v>
      </c>
      <c r="H289" s="397">
        <f t="shared" si="201"/>
        <v>0</v>
      </c>
      <c r="I289" s="397">
        <f t="shared" si="201"/>
        <v>0</v>
      </c>
      <c r="J289" s="397">
        <f t="shared" ref="J289:R289" si="204">I289</f>
        <v>0</v>
      </c>
      <c r="K289" s="397">
        <f t="shared" si="204"/>
        <v>0</v>
      </c>
      <c r="L289" s="397">
        <f t="shared" si="204"/>
        <v>0</v>
      </c>
      <c r="M289" s="397">
        <f t="shared" si="204"/>
        <v>0</v>
      </c>
      <c r="N289" s="397">
        <f t="shared" si="204"/>
        <v>0</v>
      </c>
      <c r="O289" s="397">
        <f t="shared" si="204"/>
        <v>0</v>
      </c>
      <c r="P289" s="397">
        <f t="shared" si="204"/>
        <v>0</v>
      </c>
      <c r="Q289" s="397">
        <f t="shared" si="204"/>
        <v>0</v>
      </c>
      <c r="R289" s="397">
        <f t="shared" si="204"/>
        <v>0</v>
      </c>
      <c r="S289" s="366">
        <f t="shared" si="203"/>
        <v>0</v>
      </c>
    </row>
    <row r="290" spans="1:19">
      <c r="A290" s="206">
        <v>221</v>
      </c>
      <c r="B290" s="36"/>
      <c r="C290" s="9"/>
      <c r="D290" s="9" t="s">
        <v>178</v>
      </c>
      <c r="E290" s="18" t="s">
        <v>179</v>
      </c>
      <c r="F290" s="140" t="s">
        <v>177</v>
      </c>
      <c r="G290" s="365">
        <f>'Yr 1 Operating Statement of Act'!G293/12</f>
        <v>0</v>
      </c>
      <c r="H290" s="397">
        <f t="shared" si="201"/>
        <v>0</v>
      </c>
      <c r="I290" s="397">
        <f t="shared" si="201"/>
        <v>0</v>
      </c>
      <c r="J290" s="397">
        <f t="shared" ref="J290:R290" si="205">I290</f>
        <v>0</v>
      </c>
      <c r="K290" s="397">
        <f t="shared" si="205"/>
        <v>0</v>
      </c>
      <c r="L290" s="397">
        <f t="shared" si="205"/>
        <v>0</v>
      </c>
      <c r="M290" s="397">
        <f t="shared" si="205"/>
        <v>0</v>
      </c>
      <c r="N290" s="397">
        <f t="shared" si="205"/>
        <v>0</v>
      </c>
      <c r="O290" s="397">
        <f t="shared" si="205"/>
        <v>0</v>
      </c>
      <c r="P290" s="397">
        <f t="shared" si="205"/>
        <v>0</v>
      </c>
      <c r="Q290" s="397">
        <f t="shared" si="205"/>
        <v>0</v>
      </c>
      <c r="R290" s="397">
        <f t="shared" si="205"/>
        <v>0</v>
      </c>
      <c r="S290" s="366">
        <f t="shared" si="203"/>
        <v>0</v>
      </c>
    </row>
    <row r="291" spans="1:19">
      <c r="A291" s="206">
        <v>222</v>
      </c>
      <c r="B291" s="36"/>
      <c r="C291" s="9"/>
      <c r="D291" s="9" t="s">
        <v>113</v>
      </c>
      <c r="E291" s="18" t="s">
        <v>114</v>
      </c>
      <c r="F291" s="140" t="s">
        <v>177</v>
      </c>
      <c r="G291" s="365">
        <f>'Yr 1 Operating Statement of Act'!G294/12</f>
        <v>0</v>
      </c>
      <c r="H291" s="397">
        <f t="shared" si="201"/>
        <v>0</v>
      </c>
      <c r="I291" s="397">
        <f t="shared" si="201"/>
        <v>0</v>
      </c>
      <c r="J291" s="397">
        <f t="shared" ref="J291:R291" si="206">I291</f>
        <v>0</v>
      </c>
      <c r="K291" s="397">
        <f t="shared" si="206"/>
        <v>0</v>
      </c>
      <c r="L291" s="397">
        <f t="shared" si="206"/>
        <v>0</v>
      </c>
      <c r="M291" s="397">
        <f t="shared" si="206"/>
        <v>0</v>
      </c>
      <c r="N291" s="397">
        <f t="shared" si="206"/>
        <v>0</v>
      </c>
      <c r="O291" s="397">
        <f t="shared" si="206"/>
        <v>0</v>
      </c>
      <c r="P291" s="397">
        <f t="shared" si="206"/>
        <v>0</v>
      </c>
      <c r="Q291" s="397">
        <f t="shared" si="206"/>
        <v>0</v>
      </c>
      <c r="R291" s="397">
        <f t="shared" si="206"/>
        <v>0</v>
      </c>
      <c r="S291" s="366">
        <f t="shared" si="203"/>
        <v>0</v>
      </c>
    </row>
    <row r="292" spans="1:19">
      <c r="A292" s="206">
        <v>223</v>
      </c>
      <c r="B292" s="36"/>
      <c r="C292" s="9"/>
      <c r="D292" s="9" t="s">
        <v>110</v>
      </c>
      <c r="E292" s="18" t="s">
        <v>90</v>
      </c>
      <c r="F292" s="140" t="s">
        <v>177</v>
      </c>
      <c r="G292" s="365">
        <f>'Yr 1 Operating Statement of Act'!G295/12</f>
        <v>0</v>
      </c>
      <c r="H292" s="397">
        <f t="shared" si="201"/>
        <v>0</v>
      </c>
      <c r="I292" s="397">
        <f t="shared" si="201"/>
        <v>0</v>
      </c>
      <c r="J292" s="397">
        <f t="shared" ref="J292:R292" si="207">I292</f>
        <v>0</v>
      </c>
      <c r="K292" s="397">
        <f t="shared" si="207"/>
        <v>0</v>
      </c>
      <c r="L292" s="397">
        <f t="shared" si="207"/>
        <v>0</v>
      </c>
      <c r="M292" s="397">
        <f t="shared" si="207"/>
        <v>0</v>
      </c>
      <c r="N292" s="397">
        <f t="shared" si="207"/>
        <v>0</v>
      </c>
      <c r="O292" s="397">
        <f t="shared" si="207"/>
        <v>0</v>
      </c>
      <c r="P292" s="397">
        <f t="shared" si="207"/>
        <v>0</v>
      </c>
      <c r="Q292" s="397">
        <f t="shared" si="207"/>
        <v>0</v>
      </c>
      <c r="R292" s="397">
        <f t="shared" si="207"/>
        <v>0</v>
      </c>
      <c r="S292" s="366">
        <f t="shared" si="203"/>
        <v>0</v>
      </c>
    </row>
    <row r="293" spans="1:19">
      <c r="A293" s="206">
        <v>224</v>
      </c>
      <c r="B293" s="36"/>
      <c r="C293" s="9"/>
      <c r="D293" s="9" t="s">
        <v>180</v>
      </c>
      <c r="E293" s="18" t="s">
        <v>115</v>
      </c>
      <c r="F293" s="140" t="s">
        <v>177</v>
      </c>
      <c r="G293" s="365">
        <f>'Yr 1 Operating Statement of Act'!G296/12</f>
        <v>0</v>
      </c>
      <c r="H293" s="397">
        <f t="shared" si="201"/>
        <v>0</v>
      </c>
      <c r="I293" s="397">
        <f t="shared" si="201"/>
        <v>0</v>
      </c>
      <c r="J293" s="397">
        <f t="shared" ref="J293:R293" si="208">I293</f>
        <v>0</v>
      </c>
      <c r="K293" s="397">
        <f t="shared" si="208"/>
        <v>0</v>
      </c>
      <c r="L293" s="397">
        <f t="shared" si="208"/>
        <v>0</v>
      </c>
      <c r="M293" s="397">
        <f t="shared" si="208"/>
        <v>0</v>
      </c>
      <c r="N293" s="397">
        <f t="shared" si="208"/>
        <v>0</v>
      </c>
      <c r="O293" s="397">
        <f t="shared" si="208"/>
        <v>0</v>
      </c>
      <c r="P293" s="397">
        <f t="shared" si="208"/>
        <v>0</v>
      </c>
      <c r="Q293" s="397">
        <f t="shared" si="208"/>
        <v>0</v>
      </c>
      <c r="R293" s="397">
        <f t="shared" si="208"/>
        <v>0</v>
      </c>
      <c r="S293" s="366">
        <f t="shared" si="203"/>
        <v>0</v>
      </c>
    </row>
    <row r="294" spans="1:19">
      <c r="A294" s="206">
        <v>225</v>
      </c>
      <c r="B294" s="36"/>
      <c r="C294" s="9"/>
      <c r="D294" s="9" t="s">
        <v>93</v>
      </c>
      <c r="E294" s="18" t="s">
        <v>94</v>
      </c>
      <c r="F294" s="140" t="s">
        <v>177</v>
      </c>
      <c r="G294" s="365">
        <f>'Yr 1 Operating Statement of Act'!G297/12</f>
        <v>0</v>
      </c>
      <c r="H294" s="397">
        <f t="shared" si="201"/>
        <v>0</v>
      </c>
      <c r="I294" s="397">
        <f t="shared" si="201"/>
        <v>0</v>
      </c>
      <c r="J294" s="397">
        <f t="shared" ref="J294:R294" si="209">I294</f>
        <v>0</v>
      </c>
      <c r="K294" s="397">
        <f t="shared" si="209"/>
        <v>0</v>
      </c>
      <c r="L294" s="397">
        <f t="shared" si="209"/>
        <v>0</v>
      </c>
      <c r="M294" s="397">
        <f t="shared" si="209"/>
        <v>0</v>
      </c>
      <c r="N294" s="397">
        <f t="shared" si="209"/>
        <v>0</v>
      </c>
      <c r="O294" s="397">
        <f t="shared" si="209"/>
        <v>0</v>
      </c>
      <c r="P294" s="397">
        <f t="shared" si="209"/>
        <v>0</v>
      </c>
      <c r="Q294" s="397">
        <f t="shared" si="209"/>
        <v>0</v>
      </c>
      <c r="R294" s="397">
        <f t="shared" si="209"/>
        <v>0</v>
      </c>
      <c r="S294" s="366">
        <f t="shared" si="203"/>
        <v>0</v>
      </c>
    </row>
    <row r="295" spans="1:19">
      <c r="A295" s="206">
        <v>226</v>
      </c>
      <c r="B295" s="36"/>
      <c r="C295" s="9"/>
      <c r="D295" s="9" t="s">
        <v>95</v>
      </c>
      <c r="E295" s="18" t="s">
        <v>96</v>
      </c>
      <c r="F295" s="140" t="s">
        <v>177</v>
      </c>
      <c r="G295" s="365">
        <f>'Yr 1 Operating Statement of Act'!G298/12</f>
        <v>0</v>
      </c>
      <c r="H295" s="397">
        <f t="shared" si="201"/>
        <v>0</v>
      </c>
      <c r="I295" s="397">
        <f t="shared" si="201"/>
        <v>0</v>
      </c>
      <c r="J295" s="397">
        <f t="shared" ref="J295:R295" si="210">I295</f>
        <v>0</v>
      </c>
      <c r="K295" s="397">
        <f t="shared" si="210"/>
        <v>0</v>
      </c>
      <c r="L295" s="397">
        <f t="shared" si="210"/>
        <v>0</v>
      </c>
      <c r="M295" s="397">
        <f t="shared" si="210"/>
        <v>0</v>
      </c>
      <c r="N295" s="397">
        <f t="shared" si="210"/>
        <v>0</v>
      </c>
      <c r="O295" s="397">
        <f t="shared" si="210"/>
        <v>0</v>
      </c>
      <c r="P295" s="397">
        <f t="shared" si="210"/>
        <v>0</v>
      </c>
      <c r="Q295" s="397">
        <f t="shared" si="210"/>
        <v>0</v>
      </c>
      <c r="R295" s="397">
        <f t="shared" si="210"/>
        <v>0</v>
      </c>
      <c r="S295" s="366">
        <f t="shared" si="203"/>
        <v>0</v>
      </c>
    </row>
    <row r="296" spans="1:19">
      <c r="A296" s="206">
        <v>227</v>
      </c>
      <c r="B296" s="36"/>
      <c r="C296" s="9"/>
      <c r="D296" s="9" t="s">
        <v>295</v>
      </c>
      <c r="E296" s="18" t="s">
        <v>97</v>
      </c>
      <c r="F296" s="140" t="s">
        <v>247</v>
      </c>
      <c r="G296" s="365">
        <f>'Yr 1 Operating Statement of Act'!G299/12</f>
        <v>0</v>
      </c>
      <c r="H296" s="397">
        <f t="shared" si="201"/>
        <v>0</v>
      </c>
      <c r="I296" s="397">
        <f t="shared" si="201"/>
        <v>0</v>
      </c>
      <c r="J296" s="397">
        <f t="shared" ref="J296:R296" si="211">I296</f>
        <v>0</v>
      </c>
      <c r="K296" s="397">
        <f t="shared" si="211"/>
        <v>0</v>
      </c>
      <c r="L296" s="397">
        <f t="shared" si="211"/>
        <v>0</v>
      </c>
      <c r="M296" s="397">
        <f t="shared" si="211"/>
        <v>0</v>
      </c>
      <c r="N296" s="397">
        <f t="shared" si="211"/>
        <v>0</v>
      </c>
      <c r="O296" s="397">
        <f t="shared" si="211"/>
        <v>0</v>
      </c>
      <c r="P296" s="397">
        <f t="shared" si="211"/>
        <v>0</v>
      </c>
      <c r="Q296" s="397">
        <f t="shared" si="211"/>
        <v>0</v>
      </c>
      <c r="R296" s="397">
        <f t="shared" si="211"/>
        <v>0</v>
      </c>
      <c r="S296" s="366">
        <f t="shared" si="203"/>
        <v>0</v>
      </c>
    </row>
    <row r="297" spans="1:19">
      <c r="A297" s="206">
        <v>228</v>
      </c>
      <c r="B297" s="36"/>
      <c r="C297" s="9"/>
      <c r="D297" s="9" t="s">
        <v>98</v>
      </c>
      <c r="E297" s="18" t="s">
        <v>99</v>
      </c>
      <c r="F297" s="140" t="s">
        <v>247</v>
      </c>
      <c r="G297" s="365">
        <f>'Yr 1 Operating Statement of Act'!G300/12</f>
        <v>0</v>
      </c>
      <c r="H297" s="397">
        <f t="shared" si="201"/>
        <v>0</v>
      </c>
      <c r="I297" s="397">
        <f t="shared" si="201"/>
        <v>0</v>
      </c>
      <c r="J297" s="397">
        <f t="shared" ref="J297:R297" si="212">I297</f>
        <v>0</v>
      </c>
      <c r="K297" s="397">
        <f t="shared" si="212"/>
        <v>0</v>
      </c>
      <c r="L297" s="397">
        <f t="shared" si="212"/>
        <v>0</v>
      </c>
      <c r="M297" s="397">
        <f t="shared" si="212"/>
        <v>0</v>
      </c>
      <c r="N297" s="397">
        <f t="shared" si="212"/>
        <v>0</v>
      </c>
      <c r="O297" s="397">
        <f t="shared" si="212"/>
        <v>0</v>
      </c>
      <c r="P297" s="397">
        <f t="shared" si="212"/>
        <v>0</v>
      </c>
      <c r="Q297" s="397">
        <f t="shared" si="212"/>
        <v>0</v>
      </c>
      <c r="R297" s="397">
        <f t="shared" si="212"/>
        <v>0</v>
      </c>
      <c r="S297" s="366">
        <f t="shared" si="203"/>
        <v>0</v>
      </c>
    </row>
    <row r="298" spans="1:19">
      <c r="A298" s="206">
        <v>229</v>
      </c>
      <c r="B298" s="36"/>
      <c r="C298" s="9"/>
      <c r="D298" s="9" t="s">
        <v>100</v>
      </c>
      <c r="E298" s="18" t="s">
        <v>101</v>
      </c>
      <c r="F298" s="140" t="s">
        <v>247</v>
      </c>
      <c r="G298" s="365">
        <f>'Yr 1 Operating Statement of Act'!G301/12</f>
        <v>0</v>
      </c>
      <c r="H298" s="397">
        <f t="shared" si="201"/>
        <v>0</v>
      </c>
      <c r="I298" s="397">
        <f t="shared" si="201"/>
        <v>0</v>
      </c>
      <c r="J298" s="397">
        <f t="shared" ref="J298:R298" si="213">I298</f>
        <v>0</v>
      </c>
      <c r="K298" s="397">
        <f t="shared" si="213"/>
        <v>0</v>
      </c>
      <c r="L298" s="397">
        <f t="shared" si="213"/>
        <v>0</v>
      </c>
      <c r="M298" s="397">
        <f t="shared" si="213"/>
        <v>0</v>
      </c>
      <c r="N298" s="397">
        <f t="shared" si="213"/>
        <v>0</v>
      </c>
      <c r="O298" s="397">
        <f t="shared" si="213"/>
        <v>0</v>
      </c>
      <c r="P298" s="397">
        <f t="shared" si="213"/>
        <v>0</v>
      </c>
      <c r="Q298" s="397">
        <f t="shared" si="213"/>
        <v>0</v>
      </c>
      <c r="R298" s="397">
        <f t="shared" si="213"/>
        <v>0</v>
      </c>
      <c r="S298" s="366">
        <f t="shared" si="203"/>
        <v>0</v>
      </c>
    </row>
    <row r="299" spans="1:19">
      <c r="A299" s="206">
        <v>230</v>
      </c>
      <c r="B299" s="36"/>
      <c r="C299" s="9"/>
      <c r="D299" s="9" t="s">
        <v>219</v>
      </c>
      <c r="E299" s="18" t="s">
        <v>220</v>
      </c>
      <c r="F299" s="140" t="s">
        <v>247</v>
      </c>
      <c r="G299" s="365">
        <f>'Yr 1 Operating Statement of Act'!G302/12</f>
        <v>0</v>
      </c>
      <c r="H299" s="397">
        <f t="shared" si="201"/>
        <v>0</v>
      </c>
      <c r="I299" s="397">
        <f t="shared" si="201"/>
        <v>0</v>
      </c>
      <c r="J299" s="397">
        <f t="shared" ref="J299:R299" si="214">I299</f>
        <v>0</v>
      </c>
      <c r="K299" s="397">
        <f t="shared" si="214"/>
        <v>0</v>
      </c>
      <c r="L299" s="397">
        <f t="shared" si="214"/>
        <v>0</v>
      </c>
      <c r="M299" s="397">
        <f t="shared" si="214"/>
        <v>0</v>
      </c>
      <c r="N299" s="397">
        <f t="shared" si="214"/>
        <v>0</v>
      </c>
      <c r="O299" s="397">
        <f t="shared" si="214"/>
        <v>0</v>
      </c>
      <c r="P299" s="397">
        <f t="shared" si="214"/>
        <v>0</v>
      </c>
      <c r="Q299" s="397">
        <f t="shared" si="214"/>
        <v>0</v>
      </c>
      <c r="R299" s="397">
        <f t="shared" si="214"/>
        <v>0</v>
      </c>
      <c r="S299" s="366">
        <f t="shared" si="203"/>
        <v>0</v>
      </c>
    </row>
    <row r="300" spans="1:19">
      <c r="A300" s="206">
        <v>231</v>
      </c>
      <c r="B300" s="36"/>
      <c r="C300" s="9"/>
      <c r="D300" s="9" t="s">
        <v>102</v>
      </c>
      <c r="E300" s="18" t="s">
        <v>103</v>
      </c>
      <c r="F300" s="140" t="s">
        <v>247</v>
      </c>
      <c r="G300" s="365">
        <f>'Yr 1 Operating Statement of Act'!G303/12</f>
        <v>0</v>
      </c>
      <c r="H300" s="397">
        <f t="shared" si="201"/>
        <v>0</v>
      </c>
      <c r="I300" s="397">
        <f t="shared" si="201"/>
        <v>0</v>
      </c>
      <c r="J300" s="397">
        <f t="shared" ref="J300:R300" si="215">I300</f>
        <v>0</v>
      </c>
      <c r="K300" s="397">
        <f t="shared" si="215"/>
        <v>0</v>
      </c>
      <c r="L300" s="397">
        <f t="shared" si="215"/>
        <v>0</v>
      </c>
      <c r="M300" s="397">
        <f t="shared" si="215"/>
        <v>0</v>
      </c>
      <c r="N300" s="397">
        <f t="shared" si="215"/>
        <v>0</v>
      </c>
      <c r="O300" s="397">
        <f t="shared" si="215"/>
        <v>0</v>
      </c>
      <c r="P300" s="397">
        <f t="shared" si="215"/>
        <v>0</v>
      </c>
      <c r="Q300" s="397">
        <f t="shared" si="215"/>
        <v>0</v>
      </c>
      <c r="R300" s="397">
        <f t="shared" si="215"/>
        <v>0</v>
      </c>
      <c r="S300" s="366">
        <f t="shared" si="203"/>
        <v>0</v>
      </c>
    </row>
    <row r="301" spans="1:19">
      <c r="A301" s="206">
        <v>232</v>
      </c>
      <c r="B301" s="36"/>
      <c r="C301" s="9"/>
      <c r="D301" s="9" t="s">
        <v>104</v>
      </c>
      <c r="E301" s="18" t="s">
        <v>105</v>
      </c>
      <c r="F301" s="140" t="s">
        <v>247</v>
      </c>
      <c r="G301" s="365">
        <f>'Yr 1 Operating Statement of Act'!G304/12</f>
        <v>0</v>
      </c>
      <c r="H301" s="397">
        <f t="shared" si="201"/>
        <v>0</v>
      </c>
      <c r="I301" s="397">
        <f t="shared" si="201"/>
        <v>0</v>
      </c>
      <c r="J301" s="397">
        <f t="shared" ref="J301:R301" si="216">I301</f>
        <v>0</v>
      </c>
      <c r="K301" s="397">
        <f t="shared" si="216"/>
        <v>0</v>
      </c>
      <c r="L301" s="397">
        <f t="shared" si="216"/>
        <v>0</v>
      </c>
      <c r="M301" s="397">
        <f t="shared" si="216"/>
        <v>0</v>
      </c>
      <c r="N301" s="397">
        <f t="shared" si="216"/>
        <v>0</v>
      </c>
      <c r="O301" s="397">
        <f t="shared" si="216"/>
        <v>0</v>
      </c>
      <c r="P301" s="397">
        <f t="shared" si="216"/>
        <v>0</v>
      </c>
      <c r="Q301" s="397">
        <f t="shared" si="216"/>
        <v>0</v>
      </c>
      <c r="R301" s="397">
        <f t="shared" si="216"/>
        <v>0</v>
      </c>
      <c r="S301" s="366">
        <f t="shared" si="203"/>
        <v>0</v>
      </c>
    </row>
    <row r="302" spans="1:19">
      <c r="A302" s="206">
        <v>233</v>
      </c>
      <c r="B302" s="36"/>
      <c r="C302" s="85" t="s">
        <v>283</v>
      </c>
      <c r="D302" s="9"/>
      <c r="E302" s="18"/>
      <c r="F302" s="140"/>
      <c r="G302" s="365"/>
      <c r="H302" s="397"/>
      <c r="I302" s="397"/>
      <c r="J302" s="397"/>
      <c r="K302" s="397"/>
      <c r="L302" s="397"/>
      <c r="M302" s="397"/>
      <c r="N302" s="397"/>
      <c r="O302" s="397"/>
      <c r="P302" s="397"/>
      <c r="Q302" s="397"/>
      <c r="R302" s="366"/>
      <c r="S302" s="366">
        <f t="shared" si="203"/>
        <v>0</v>
      </c>
    </row>
    <row r="303" spans="1:19">
      <c r="A303" s="206">
        <v>234</v>
      </c>
      <c r="B303" s="36"/>
      <c r="C303" s="85"/>
      <c r="D303" s="9"/>
      <c r="E303" s="18"/>
      <c r="F303" s="140"/>
      <c r="G303" s="365"/>
      <c r="H303" s="397"/>
      <c r="I303" s="397"/>
      <c r="J303" s="397"/>
      <c r="K303" s="397"/>
      <c r="L303" s="397"/>
      <c r="M303" s="397"/>
      <c r="N303" s="397"/>
      <c r="O303" s="397"/>
      <c r="P303" s="397"/>
      <c r="Q303" s="397"/>
      <c r="R303" s="366"/>
      <c r="S303" s="366">
        <f t="shared" si="203"/>
        <v>0</v>
      </c>
    </row>
    <row r="304" spans="1:19">
      <c r="A304" s="206">
        <v>235</v>
      </c>
      <c r="B304" s="83"/>
      <c r="D304" s="13"/>
      <c r="E304" s="14"/>
      <c r="F304" s="148"/>
      <c r="G304" s="380"/>
      <c r="H304" s="405"/>
      <c r="I304" s="405"/>
      <c r="J304" s="405"/>
      <c r="K304" s="405"/>
      <c r="L304" s="405"/>
      <c r="M304" s="405"/>
      <c r="N304" s="405"/>
      <c r="O304" s="405"/>
      <c r="P304" s="405"/>
      <c r="Q304" s="405"/>
      <c r="R304" s="432"/>
      <c r="S304" s="366">
        <f t="shared" si="203"/>
        <v>0</v>
      </c>
    </row>
    <row r="305" spans="1:19">
      <c r="A305" s="207">
        <v>236</v>
      </c>
      <c r="B305" s="87" t="s">
        <v>181</v>
      </c>
      <c r="C305" s="51"/>
      <c r="D305" s="51"/>
      <c r="E305" s="49"/>
      <c r="F305" s="144"/>
      <c r="G305" s="384">
        <f t="shared" ref="G305:S305" si="217">SUM(G286:G304)</f>
        <v>0</v>
      </c>
      <c r="H305" s="408">
        <f t="shared" si="217"/>
        <v>0</v>
      </c>
      <c r="I305" s="408">
        <f t="shared" si="217"/>
        <v>19090.909090909092</v>
      </c>
      <c r="J305" s="408">
        <f t="shared" si="217"/>
        <v>19090.909090909092</v>
      </c>
      <c r="K305" s="408">
        <f t="shared" si="217"/>
        <v>19090.909090909092</v>
      </c>
      <c r="L305" s="408">
        <f t="shared" si="217"/>
        <v>19090.909090909092</v>
      </c>
      <c r="M305" s="408">
        <f t="shared" si="217"/>
        <v>19090.909090909092</v>
      </c>
      <c r="N305" s="408">
        <f t="shared" si="217"/>
        <v>19090.909090909092</v>
      </c>
      <c r="O305" s="408">
        <f t="shared" si="217"/>
        <v>19090.909090909092</v>
      </c>
      <c r="P305" s="408">
        <f t="shared" si="217"/>
        <v>19090.909090909092</v>
      </c>
      <c r="Q305" s="408">
        <f t="shared" si="217"/>
        <v>19090.909090909092</v>
      </c>
      <c r="R305" s="428">
        <f t="shared" si="217"/>
        <v>19090.909090909092</v>
      </c>
      <c r="S305" s="428">
        <f t="shared" si="217"/>
        <v>190909.09090909091</v>
      </c>
    </row>
    <row r="306" spans="1:19">
      <c r="A306" s="206"/>
      <c r="B306" s="35"/>
      <c r="C306" s="12"/>
      <c r="D306" s="12"/>
      <c r="E306" s="71"/>
      <c r="F306" s="138"/>
      <c r="G306" s="390"/>
      <c r="H306" s="399"/>
      <c r="I306" s="399"/>
      <c r="J306" s="399"/>
      <c r="K306" s="399"/>
      <c r="L306" s="399"/>
      <c r="M306" s="399"/>
      <c r="N306" s="399"/>
      <c r="O306" s="399"/>
      <c r="P306" s="399"/>
      <c r="Q306" s="399"/>
      <c r="R306" s="424"/>
      <c r="S306" s="424"/>
    </row>
    <row r="307" spans="1:19" s="4" customFormat="1">
      <c r="A307" s="206"/>
      <c r="B307" s="88" t="s">
        <v>30</v>
      </c>
      <c r="C307" s="53"/>
      <c r="D307" s="53"/>
      <c r="E307" s="77"/>
      <c r="F307" s="151"/>
      <c r="G307" s="386"/>
      <c r="H307" s="409"/>
      <c r="I307" s="409"/>
      <c r="J307" s="409"/>
      <c r="K307" s="409"/>
      <c r="L307" s="409"/>
      <c r="M307" s="409"/>
      <c r="N307" s="409"/>
      <c r="O307" s="409"/>
      <c r="P307" s="409"/>
      <c r="Q307" s="409"/>
      <c r="R307" s="435"/>
      <c r="S307" s="435"/>
    </row>
    <row r="308" spans="1:19">
      <c r="A308" s="206"/>
      <c r="B308" s="36"/>
      <c r="C308" s="106" t="s">
        <v>9</v>
      </c>
      <c r="D308" s="9"/>
      <c r="E308" s="77"/>
      <c r="F308" s="151"/>
      <c r="G308" s="383"/>
      <c r="H308" s="400"/>
      <c r="I308" s="400"/>
      <c r="J308" s="400"/>
      <c r="K308" s="400"/>
      <c r="L308" s="400"/>
      <c r="M308" s="400"/>
      <c r="N308" s="400"/>
      <c r="O308" s="400"/>
      <c r="P308" s="400"/>
      <c r="Q308" s="400"/>
      <c r="R308" s="425"/>
      <c r="S308" s="425"/>
    </row>
    <row r="309" spans="1:19">
      <c r="A309" s="206">
        <v>237</v>
      </c>
      <c r="B309" s="36"/>
      <c r="C309" s="9"/>
      <c r="D309" s="9" t="s">
        <v>83</v>
      </c>
      <c r="E309" s="18" t="s">
        <v>84</v>
      </c>
      <c r="F309" s="140" t="s">
        <v>226</v>
      </c>
      <c r="G309" s="365">
        <f>'Yr 1 Operating Statement of Act'!G312/12</f>
        <v>0</v>
      </c>
      <c r="H309" s="397">
        <f t="shared" ref="H309:I318" si="218">G309</f>
        <v>0</v>
      </c>
      <c r="I309" s="397">
        <f t="shared" si="218"/>
        <v>0</v>
      </c>
      <c r="J309" s="397">
        <f t="shared" ref="J309:R309" si="219">I309</f>
        <v>0</v>
      </c>
      <c r="K309" s="397">
        <f t="shared" si="219"/>
        <v>0</v>
      </c>
      <c r="L309" s="397">
        <f t="shared" si="219"/>
        <v>0</v>
      </c>
      <c r="M309" s="397">
        <f t="shared" si="219"/>
        <v>0</v>
      </c>
      <c r="N309" s="397">
        <f t="shared" si="219"/>
        <v>0</v>
      </c>
      <c r="O309" s="397">
        <f t="shared" si="219"/>
        <v>0</v>
      </c>
      <c r="P309" s="397">
        <f t="shared" si="219"/>
        <v>0</v>
      </c>
      <c r="Q309" s="397">
        <f t="shared" si="219"/>
        <v>0</v>
      </c>
      <c r="R309" s="397">
        <f t="shared" si="219"/>
        <v>0</v>
      </c>
      <c r="S309" s="366">
        <f t="shared" ref="S309:S320" si="220">SUM(G309:R309)</f>
        <v>0</v>
      </c>
    </row>
    <row r="310" spans="1:19">
      <c r="A310" s="206">
        <v>238</v>
      </c>
      <c r="B310" s="36"/>
      <c r="C310" s="9"/>
      <c r="D310" s="9" t="s">
        <v>184</v>
      </c>
      <c r="E310" s="18" t="s">
        <v>185</v>
      </c>
      <c r="F310" s="140">
        <v>2830</v>
      </c>
      <c r="G310" s="365">
        <f>'Yr 1 Operating Statement of Act'!G313/12</f>
        <v>162</v>
      </c>
      <c r="H310" s="397">
        <f t="shared" si="218"/>
        <v>162</v>
      </c>
      <c r="I310" s="397">
        <f t="shared" si="218"/>
        <v>162</v>
      </c>
      <c r="J310" s="397">
        <f t="shared" ref="J310:R310" si="221">I310</f>
        <v>162</v>
      </c>
      <c r="K310" s="397">
        <f t="shared" si="221"/>
        <v>162</v>
      </c>
      <c r="L310" s="397">
        <f t="shared" si="221"/>
        <v>162</v>
      </c>
      <c r="M310" s="397">
        <f t="shared" si="221"/>
        <v>162</v>
      </c>
      <c r="N310" s="397">
        <f t="shared" si="221"/>
        <v>162</v>
      </c>
      <c r="O310" s="397">
        <f t="shared" si="221"/>
        <v>162</v>
      </c>
      <c r="P310" s="397">
        <f t="shared" si="221"/>
        <v>162</v>
      </c>
      <c r="Q310" s="397">
        <f t="shared" si="221"/>
        <v>162</v>
      </c>
      <c r="R310" s="397">
        <f t="shared" si="221"/>
        <v>162</v>
      </c>
      <c r="S310" s="366">
        <f t="shared" si="220"/>
        <v>1944</v>
      </c>
    </row>
    <row r="311" spans="1:19">
      <c r="A311" s="206">
        <v>239</v>
      </c>
      <c r="B311" s="36"/>
      <c r="C311" s="9"/>
      <c r="D311" s="9" t="s">
        <v>131</v>
      </c>
      <c r="E311" s="18" t="s">
        <v>132</v>
      </c>
      <c r="F311" s="140" t="s">
        <v>183</v>
      </c>
      <c r="G311" s="365">
        <f>'Yr 1 Operating Statement of Act'!G314/12</f>
        <v>0</v>
      </c>
      <c r="H311" s="397">
        <f t="shared" si="218"/>
        <v>0</v>
      </c>
      <c r="I311" s="397">
        <f t="shared" si="218"/>
        <v>0</v>
      </c>
      <c r="J311" s="397">
        <f t="shared" ref="J311:R311" si="222">I311</f>
        <v>0</v>
      </c>
      <c r="K311" s="397">
        <f t="shared" si="222"/>
        <v>0</v>
      </c>
      <c r="L311" s="397">
        <f t="shared" si="222"/>
        <v>0</v>
      </c>
      <c r="M311" s="397">
        <f t="shared" si="222"/>
        <v>0</v>
      </c>
      <c r="N311" s="397">
        <f t="shared" si="222"/>
        <v>0</v>
      </c>
      <c r="O311" s="397">
        <f t="shared" si="222"/>
        <v>0</v>
      </c>
      <c r="P311" s="397">
        <f t="shared" si="222"/>
        <v>0</v>
      </c>
      <c r="Q311" s="397">
        <f t="shared" si="222"/>
        <v>0</v>
      </c>
      <c r="R311" s="397">
        <f t="shared" si="222"/>
        <v>0</v>
      </c>
      <c r="S311" s="366">
        <f t="shared" si="220"/>
        <v>0</v>
      </c>
    </row>
    <row r="312" spans="1:19">
      <c r="A312" s="206">
        <v>240</v>
      </c>
      <c r="B312" s="36"/>
      <c r="C312" s="9" t="s">
        <v>186</v>
      </c>
      <c r="D312" s="9"/>
      <c r="E312" s="104" t="s">
        <v>221</v>
      </c>
      <c r="F312" s="154" t="s">
        <v>226</v>
      </c>
      <c r="G312" s="365">
        <f>'Yr 1 Operating Statement of Act'!G315/12</f>
        <v>337.5</v>
      </c>
      <c r="H312" s="397">
        <f t="shared" si="218"/>
        <v>337.5</v>
      </c>
      <c r="I312" s="397">
        <f t="shared" si="218"/>
        <v>337.5</v>
      </c>
      <c r="J312" s="397">
        <f t="shared" ref="J312:R312" si="223">I312</f>
        <v>337.5</v>
      </c>
      <c r="K312" s="397">
        <f t="shared" si="223"/>
        <v>337.5</v>
      </c>
      <c r="L312" s="397">
        <f t="shared" si="223"/>
        <v>337.5</v>
      </c>
      <c r="M312" s="397">
        <f t="shared" si="223"/>
        <v>337.5</v>
      </c>
      <c r="N312" s="397">
        <f t="shared" si="223"/>
        <v>337.5</v>
      </c>
      <c r="O312" s="397">
        <f t="shared" si="223"/>
        <v>337.5</v>
      </c>
      <c r="P312" s="397">
        <f t="shared" si="223"/>
        <v>337.5</v>
      </c>
      <c r="Q312" s="397">
        <f t="shared" si="223"/>
        <v>337.5</v>
      </c>
      <c r="R312" s="397">
        <f t="shared" si="223"/>
        <v>337.5</v>
      </c>
      <c r="S312" s="366">
        <f t="shared" si="220"/>
        <v>4050</v>
      </c>
    </row>
    <row r="313" spans="1:19">
      <c r="A313" s="206">
        <v>241</v>
      </c>
      <c r="B313" s="36"/>
      <c r="C313" s="9" t="s">
        <v>295</v>
      </c>
      <c r="D313" s="9"/>
      <c r="E313" s="18" t="s">
        <v>97</v>
      </c>
      <c r="F313" s="140" t="s">
        <v>226</v>
      </c>
      <c r="G313" s="365">
        <f>'Yr 1 Operating Statement of Act'!G316/12</f>
        <v>0</v>
      </c>
      <c r="H313" s="397">
        <f t="shared" si="218"/>
        <v>0</v>
      </c>
      <c r="I313" s="397">
        <f t="shared" si="218"/>
        <v>0</v>
      </c>
      <c r="J313" s="397">
        <f t="shared" ref="J313:R313" si="224">I313</f>
        <v>0</v>
      </c>
      <c r="K313" s="397">
        <f t="shared" si="224"/>
        <v>0</v>
      </c>
      <c r="L313" s="397">
        <f t="shared" si="224"/>
        <v>0</v>
      </c>
      <c r="M313" s="397">
        <f t="shared" si="224"/>
        <v>0</v>
      </c>
      <c r="N313" s="397">
        <f t="shared" si="224"/>
        <v>0</v>
      </c>
      <c r="O313" s="397">
        <f t="shared" si="224"/>
        <v>0</v>
      </c>
      <c r="P313" s="397">
        <f t="shared" si="224"/>
        <v>0</v>
      </c>
      <c r="Q313" s="397">
        <f t="shared" si="224"/>
        <v>0</v>
      </c>
      <c r="R313" s="397">
        <f t="shared" si="224"/>
        <v>0</v>
      </c>
      <c r="S313" s="366">
        <f t="shared" si="220"/>
        <v>0</v>
      </c>
    </row>
    <row r="314" spans="1:19">
      <c r="A314" s="206">
        <v>242</v>
      </c>
      <c r="B314" s="36"/>
      <c r="C314" s="9" t="s">
        <v>98</v>
      </c>
      <c r="D314" s="9"/>
      <c r="E314" s="18" t="s">
        <v>99</v>
      </c>
      <c r="F314" s="140" t="s">
        <v>226</v>
      </c>
      <c r="G314" s="365">
        <f>'Yr 1 Operating Statement of Act'!G317/12</f>
        <v>0</v>
      </c>
      <c r="H314" s="397">
        <f t="shared" si="218"/>
        <v>0</v>
      </c>
      <c r="I314" s="397">
        <f t="shared" si="218"/>
        <v>0</v>
      </c>
      <c r="J314" s="397">
        <f t="shared" ref="J314:R314" si="225">I314</f>
        <v>0</v>
      </c>
      <c r="K314" s="397">
        <f t="shared" si="225"/>
        <v>0</v>
      </c>
      <c r="L314" s="397">
        <f t="shared" si="225"/>
        <v>0</v>
      </c>
      <c r="M314" s="397">
        <f t="shared" si="225"/>
        <v>0</v>
      </c>
      <c r="N314" s="397">
        <f t="shared" si="225"/>
        <v>0</v>
      </c>
      <c r="O314" s="397">
        <f t="shared" si="225"/>
        <v>0</v>
      </c>
      <c r="P314" s="397">
        <f t="shared" si="225"/>
        <v>0</v>
      </c>
      <c r="Q314" s="397">
        <f t="shared" si="225"/>
        <v>0</v>
      </c>
      <c r="R314" s="397">
        <f t="shared" si="225"/>
        <v>0</v>
      </c>
      <c r="S314" s="366">
        <f t="shared" si="220"/>
        <v>0</v>
      </c>
    </row>
    <row r="315" spans="1:19">
      <c r="A315" s="206">
        <v>243</v>
      </c>
      <c r="B315" s="36"/>
      <c r="C315" s="9" t="s">
        <v>100</v>
      </c>
      <c r="D315" s="9"/>
      <c r="E315" s="18" t="s">
        <v>101</v>
      </c>
      <c r="F315" s="140" t="s">
        <v>226</v>
      </c>
      <c r="G315" s="365">
        <f>'Yr 1 Operating Statement of Act'!G318/12</f>
        <v>0</v>
      </c>
      <c r="H315" s="397">
        <f t="shared" si="218"/>
        <v>0</v>
      </c>
      <c r="I315" s="397">
        <f t="shared" si="218"/>
        <v>0</v>
      </c>
      <c r="J315" s="397">
        <f t="shared" ref="J315:R315" si="226">I315</f>
        <v>0</v>
      </c>
      <c r="K315" s="397">
        <f t="shared" si="226"/>
        <v>0</v>
      </c>
      <c r="L315" s="397">
        <f t="shared" si="226"/>
        <v>0</v>
      </c>
      <c r="M315" s="397">
        <f t="shared" si="226"/>
        <v>0</v>
      </c>
      <c r="N315" s="397">
        <f t="shared" si="226"/>
        <v>0</v>
      </c>
      <c r="O315" s="397">
        <f t="shared" si="226"/>
        <v>0</v>
      </c>
      <c r="P315" s="397">
        <f t="shared" si="226"/>
        <v>0</v>
      </c>
      <c r="Q315" s="397">
        <f t="shared" si="226"/>
        <v>0</v>
      </c>
      <c r="R315" s="397">
        <f t="shared" si="226"/>
        <v>0</v>
      </c>
      <c r="S315" s="366">
        <f t="shared" si="220"/>
        <v>0</v>
      </c>
    </row>
    <row r="316" spans="1:19">
      <c r="A316" s="206">
        <v>244</v>
      </c>
      <c r="B316" s="36"/>
      <c r="C316" s="9" t="s">
        <v>219</v>
      </c>
      <c r="D316" s="9"/>
      <c r="E316" s="18" t="s">
        <v>220</v>
      </c>
      <c r="F316" s="140" t="s">
        <v>226</v>
      </c>
      <c r="G316" s="365">
        <f>'Yr 1 Operating Statement of Act'!G319/12</f>
        <v>0</v>
      </c>
      <c r="H316" s="397">
        <f t="shared" si="218"/>
        <v>0</v>
      </c>
      <c r="I316" s="397">
        <f t="shared" si="218"/>
        <v>0</v>
      </c>
      <c r="J316" s="397">
        <f t="shared" ref="J316:R316" si="227">I316</f>
        <v>0</v>
      </c>
      <c r="K316" s="397">
        <f t="shared" si="227"/>
        <v>0</v>
      </c>
      <c r="L316" s="397">
        <f t="shared" si="227"/>
        <v>0</v>
      </c>
      <c r="M316" s="397">
        <f t="shared" si="227"/>
        <v>0</v>
      </c>
      <c r="N316" s="397">
        <f t="shared" si="227"/>
        <v>0</v>
      </c>
      <c r="O316" s="397">
        <f t="shared" si="227"/>
        <v>0</v>
      </c>
      <c r="P316" s="397">
        <f t="shared" si="227"/>
        <v>0</v>
      </c>
      <c r="Q316" s="397">
        <f t="shared" si="227"/>
        <v>0</v>
      </c>
      <c r="R316" s="397">
        <f t="shared" si="227"/>
        <v>0</v>
      </c>
      <c r="S316" s="366">
        <f t="shared" si="220"/>
        <v>0</v>
      </c>
    </row>
    <row r="317" spans="1:19">
      <c r="A317" s="206">
        <v>245</v>
      </c>
      <c r="B317" s="36"/>
      <c r="C317" s="9" t="s">
        <v>102</v>
      </c>
      <c r="D317" s="9"/>
      <c r="E317" s="18" t="s">
        <v>103</v>
      </c>
      <c r="F317" s="140" t="s">
        <v>226</v>
      </c>
      <c r="G317" s="365">
        <f>'Yr 1 Operating Statement of Act'!G320/12</f>
        <v>0</v>
      </c>
      <c r="H317" s="397">
        <f t="shared" si="218"/>
        <v>0</v>
      </c>
      <c r="I317" s="397">
        <f t="shared" si="218"/>
        <v>0</v>
      </c>
      <c r="J317" s="397">
        <f t="shared" ref="J317:R317" si="228">I317</f>
        <v>0</v>
      </c>
      <c r="K317" s="397">
        <f t="shared" si="228"/>
        <v>0</v>
      </c>
      <c r="L317" s="397">
        <f t="shared" si="228"/>
        <v>0</v>
      </c>
      <c r="M317" s="397">
        <f t="shared" si="228"/>
        <v>0</v>
      </c>
      <c r="N317" s="397">
        <f t="shared" si="228"/>
        <v>0</v>
      </c>
      <c r="O317" s="397">
        <f t="shared" si="228"/>
        <v>0</v>
      </c>
      <c r="P317" s="397">
        <f t="shared" si="228"/>
        <v>0</v>
      </c>
      <c r="Q317" s="397">
        <f t="shared" si="228"/>
        <v>0</v>
      </c>
      <c r="R317" s="397">
        <f t="shared" si="228"/>
        <v>0</v>
      </c>
      <c r="S317" s="366">
        <f t="shared" si="220"/>
        <v>0</v>
      </c>
    </row>
    <row r="318" spans="1:19">
      <c r="A318" s="206">
        <v>246</v>
      </c>
      <c r="B318" s="36"/>
      <c r="C318" s="9" t="s">
        <v>104</v>
      </c>
      <c r="D318" s="9"/>
      <c r="E318" s="18" t="s">
        <v>105</v>
      </c>
      <c r="F318" s="140" t="s">
        <v>226</v>
      </c>
      <c r="G318" s="365">
        <f>'Yr 1 Operating Statement of Act'!G321/12</f>
        <v>0</v>
      </c>
      <c r="H318" s="397">
        <f t="shared" si="218"/>
        <v>0</v>
      </c>
      <c r="I318" s="397">
        <f t="shared" si="218"/>
        <v>0</v>
      </c>
      <c r="J318" s="397">
        <f t="shared" ref="J318:R318" si="229">I318</f>
        <v>0</v>
      </c>
      <c r="K318" s="397">
        <f t="shared" si="229"/>
        <v>0</v>
      </c>
      <c r="L318" s="397">
        <f t="shared" si="229"/>
        <v>0</v>
      </c>
      <c r="M318" s="397">
        <f t="shared" si="229"/>
        <v>0</v>
      </c>
      <c r="N318" s="397">
        <f t="shared" si="229"/>
        <v>0</v>
      </c>
      <c r="O318" s="397">
        <f t="shared" si="229"/>
        <v>0</v>
      </c>
      <c r="P318" s="397">
        <f t="shared" si="229"/>
        <v>0</v>
      </c>
      <c r="Q318" s="397">
        <f t="shared" si="229"/>
        <v>0</v>
      </c>
      <c r="R318" s="397">
        <f t="shared" si="229"/>
        <v>0</v>
      </c>
      <c r="S318" s="366">
        <f t="shared" si="220"/>
        <v>0</v>
      </c>
    </row>
    <row r="319" spans="1:19">
      <c r="A319" s="206">
        <v>247</v>
      </c>
      <c r="B319" s="36"/>
      <c r="C319" s="85"/>
      <c r="D319" s="9"/>
      <c r="E319" s="18"/>
      <c r="F319" s="140"/>
      <c r="G319" s="365"/>
      <c r="H319" s="397"/>
      <c r="I319" s="397"/>
      <c r="J319" s="397"/>
      <c r="K319" s="397"/>
      <c r="L319" s="397"/>
      <c r="M319" s="397"/>
      <c r="N319" s="397"/>
      <c r="O319" s="397"/>
      <c r="P319" s="397"/>
      <c r="Q319" s="397"/>
      <c r="R319" s="366"/>
      <c r="S319" s="366">
        <f t="shared" si="220"/>
        <v>0</v>
      </c>
    </row>
    <row r="320" spans="1:19">
      <c r="A320" s="206">
        <v>248</v>
      </c>
      <c r="B320" s="83"/>
      <c r="D320" s="13"/>
      <c r="E320" s="14"/>
      <c r="F320" s="148"/>
      <c r="G320" s="380"/>
      <c r="H320" s="405"/>
      <c r="I320" s="405"/>
      <c r="J320" s="405"/>
      <c r="K320" s="405"/>
      <c r="L320" s="405"/>
      <c r="M320" s="405"/>
      <c r="N320" s="405"/>
      <c r="O320" s="405"/>
      <c r="P320" s="405"/>
      <c r="Q320" s="405"/>
      <c r="R320" s="432"/>
      <c r="S320" s="366">
        <f t="shared" si="220"/>
        <v>0</v>
      </c>
    </row>
    <row r="321" spans="1:19">
      <c r="A321" s="207">
        <v>249</v>
      </c>
      <c r="B321" s="87" t="s">
        <v>188</v>
      </c>
      <c r="C321" s="51"/>
      <c r="D321" s="51"/>
      <c r="E321" s="49"/>
      <c r="F321" s="144"/>
      <c r="G321" s="384">
        <f t="shared" ref="G321:S321" si="230">SUM(G309:G320)</f>
        <v>499.5</v>
      </c>
      <c r="H321" s="408">
        <f t="shared" si="230"/>
        <v>499.5</v>
      </c>
      <c r="I321" s="408">
        <f t="shared" si="230"/>
        <v>499.5</v>
      </c>
      <c r="J321" s="408">
        <f t="shared" si="230"/>
        <v>499.5</v>
      </c>
      <c r="K321" s="408">
        <f t="shared" si="230"/>
        <v>499.5</v>
      </c>
      <c r="L321" s="408">
        <f t="shared" si="230"/>
        <v>499.5</v>
      </c>
      <c r="M321" s="408">
        <f t="shared" si="230"/>
        <v>499.5</v>
      </c>
      <c r="N321" s="408">
        <f t="shared" si="230"/>
        <v>499.5</v>
      </c>
      <c r="O321" s="408">
        <f t="shared" si="230"/>
        <v>499.5</v>
      </c>
      <c r="P321" s="408">
        <f t="shared" si="230"/>
        <v>499.5</v>
      </c>
      <c r="Q321" s="408">
        <f t="shared" si="230"/>
        <v>499.5</v>
      </c>
      <c r="R321" s="428">
        <f t="shared" si="230"/>
        <v>499.5</v>
      </c>
      <c r="S321" s="428">
        <f t="shared" si="230"/>
        <v>5994</v>
      </c>
    </row>
    <row r="322" spans="1:19" s="13" customFormat="1">
      <c r="A322" s="204"/>
      <c r="B322" s="81"/>
      <c r="C322" s="58"/>
      <c r="D322" s="58"/>
      <c r="E322" s="22"/>
      <c r="F322" s="143"/>
      <c r="G322" s="385"/>
      <c r="H322" s="401"/>
      <c r="I322" s="401"/>
      <c r="J322" s="401"/>
      <c r="K322" s="401"/>
      <c r="L322" s="401"/>
      <c r="M322" s="401"/>
      <c r="N322" s="401"/>
      <c r="O322" s="401"/>
      <c r="P322" s="401"/>
      <c r="Q322" s="401"/>
      <c r="R322" s="427"/>
      <c r="S322" s="427"/>
    </row>
    <row r="323" spans="1:19" s="13" customFormat="1" ht="15" thickBot="1">
      <c r="A323" s="203"/>
      <c r="B323" s="34"/>
      <c r="C323" s="20"/>
      <c r="D323" s="20"/>
      <c r="E323" s="14"/>
      <c r="F323" s="148"/>
      <c r="G323" s="380"/>
      <c r="H323" s="405"/>
      <c r="I323" s="405"/>
      <c r="J323" s="405"/>
      <c r="K323" s="405"/>
      <c r="L323" s="405"/>
      <c r="M323" s="405"/>
      <c r="N323" s="405"/>
      <c r="O323" s="405"/>
      <c r="P323" s="405"/>
      <c r="Q323" s="405"/>
      <c r="R323" s="432"/>
      <c r="S323" s="432"/>
    </row>
    <row r="324" spans="1:19" ht="15" thickBot="1">
      <c r="A324" s="212">
        <v>250</v>
      </c>
      <c r="B324" s="75" t="s">
        <v>230</v>
      </c>
      <c r="C324" s="76"/>
      <c r="D324" s="76"/>
      <c r="E324" s="45"/>
      <c r="F324" s="147"/>
      <c r="G324" s="387">
        <f t="shared" ref="G324:S324" si="231">G169+G186+G201+G226+G251+G283+G305+G321</f>
        <v>103561.10581666666</v>
      </c>
      <c r="H324" s="410">
        <f t="shared" si="231"/>
        <v>123325.83308939394</v>
      </c>
      <c r="I324" s="410">
        <f t="shared" si="231"/>
        <v>142416.74218030303</v>
      </c>
      <c r="J324" s="410">
        <f t="shared" si="231"/>
        <v>142416.74218030303</v>
      </c>
      <c r="K324" s="410">
        <f t="shared" si="231"/>
        <v>142416.74218030303</v>
      </c>
      <c r="L324" s="410">
        <f t="shared" si="231"/>
        <v>142416.74218030303</v>
      </c>
      <c r="M324" s="410">
        <f t="shared" si="231"/>
        <v>142416.74218030303</v>
      </c>
      <c r="N324" s="410">
        <f t="shared" si="231"/>
        <v>142416.74218030303</v>
      </c>
      <c r="O324" s="410">
        <f t="shared" si="231"/>
        <v>142416.74218030303</v>
      </c>
      <c r="P324" s="410">
        <f t="shared" si="231"/>
        <v>142416.74218030303</v>
      </c>
      <c r="Q324" s="410">
        <f t="shared" si="231"/>
        <v>142416.74218030303</v>
      </c>
      <c r="R324" s="431">
        <f t="shared" si="231"/>
        <v>142416.74218030303</v>
      </c>
      <c r="S324" s="431">
        <f t="shared" si="231"/>
        <v>1651054.3607090909</v>
      </c>
    </row>
    <row r="325" spans="1:19" ht="15" thickBot="1">
      <c r="A325" s="211"/>
      <c r="B325" s="35"/>
      <c r="C325" s="12"/>
      <c r="D325" s="12"/>
      <c r="E325" s="97"/>
      <c r="F325" s="145"/>
      <c r="G325" s="391"/>
      <c r="H325" s="403"/>
      <c r="I325" s="403"/>
      <c r="J325" s="403"/>
      <c r="K325" s="403"/>
      <c r="L325" s="403"/>
      <c r="M325" s="403"/>
      <c r="N325" s="403"/>
      <c r="O325" s="403"/>
      <c r="P325" s="403"/>
      <c r="Q325" s="403"/>
      <c r="R325" s="429"/>
      <c r="S325" s="429"/>
    </row>
    <row r="326" spans="1:19" ht="15" thickBot="1">
      <c r="A326" s="212"/>
      <c r="B326" s="75" t="s">
        <v>189</v>
      </c>
      <c r="C326" s="76"/>
      <c r="D326" s="76"/>
      <c r="E326" s="121"/>
      <c r="F326" s="155"/>
      <c r="G326" s="392"/>
      <c r="H326" s="413"/>
      <c r="I326" s="413"/>
      <c r="J326" s="413"/>
      <c r="K326" s="413"/>
      <c r="L326" s="413"/>
      <c r="M326" s="413"/>
      <c r="N326" s="413"/>
      <c r="O326" s="413"/>
      <c r="P326" s="413"/>
      <c r="Q326" s="413"/>
      <c r="R326" s="438"/>
      <c r="S326" s="438"/>
    </row>
    <row r="327" spans="1:19" s="4" customFormat="1">
      <c r="A327" s="206"/>
      <c r="B327" s="88" t="s">
        <v>288</v>
      </c>
      <c r="C327" s="53"/>
      <c r="D327" s="53"/>
      <c r="E327" s="77"/>
      <c r="F327" s="151"/>
      <c r="G327" s="386"/>
      <c r="H327" s="409"/>
      <c r="I327" s="409"/>
      <c r="J327" s="409"/>
      <c r="K327" s="409"/>
      <c r="L327" s="409"/>
      <c r="M327" s="409"/>
      <c r="N327" s="409"/>
      <c r="O327" s="409"/>
      <c r="P327" s="409"/>
      <c r="Q327" s="409"/>
      <c r="R327" s="435"/>
      <c r="S327" s="435"/>
    </row>
    <row r="328" spans="1:19">
      <c r="A328" s="206">
        <v>251</v>
      </c>
      <c r="B328" s="36"/>
      <c r="C328" s="9" t="s">
        <v>190</v>
      </c>
      <c r="D328" s="9"/>
      <c r="E328" s="18" t="s">
        <v>222</v>
      </c>
      <c r="F328" s="140">
        <v>3100</v>
      </c>
      <c r="G328" s="365">
        <f>'Yr 1 Operating Statement of Act'!G331/12</f>
        <v>0</v>
      </c>
      <c r="H328" s="397">
        <f t="shared" ref="H328:I343" si="232">G328</f>
        <v>0</v>
      </c>
      <c r="I328" s="397">
        <f t="shared" si="232"/>
        <v>0</v>
      </c>
      <c r="J328" s="397">
        <f t="shared" ref="J328:R328" si="233">I328</f>
        <v>0</v>
      </c>
      <c r="K328" s="397">
        <f t="shared" si="233"/>
        <v>0</v>
      </c>
      <c r="L328" s="397">
        <f t="shared" si="233"/>
        <v>0</v>
      </c>
      <c r="M328" s="397">
        <f t="shared" si="233"/>
        <v>0</v>
      </c>
      <c r="N328" s="397">
        <f t="shared" si="233"/>
        <v>0</v>
      </c>
      <c r="O328" s="397">
        <f t="shared" si="233"/>
        <v>0</v>
      </c>
      <c r="P328" s="397">
        <f t="shared" si="233"/>
        <v>0</v>
      </c>
      <c r="Q328" s="397">
        <f t="shared" si="233"/>
        <v>0</v>
      </c>
      <c r="R328" s="397">
        <f t="shared" si="233"/>
        <v>0</v>
      </c>
      <c r="S328" s="366">
        <f t="shared" ref="S328:S346" si="234">SUM(G328:R328)</f>
        <v>0</v>
      </c>
    </row>
    <row r="329" spans="1:19">
      <c r="A329" s="206">
        <v>252</v>
      </c>
      <c r="B329" s="36"/>
      <c r="C329" s="9" t="s">
        <v>250</v>
      </c>
      <c r="D329" s="9"/>
      <c r="E329" s="18" t="s">
        <v>251</v>
      </c>
      <c r="F329" s="140" t="s">
        <v>191</v>
      </c>
      <c r="G329" s="365">
        <f>'Yr 1 Operating Statement of Act'!G332/12</f>
        <v>0</v>
      </c>
      <c r="H329" s="397">
        <f t="shared" si="232"/>
        <v>0</v>
      </c>
      <c r="I329" s="397">
        <f t="shared" si="232"/>
        <v>0</v>
      </c>
      <c r="J329" s="397">
        <f t="shared" ref="J329:R329" si="235">I329</f>
        <v>0</v>
      </c>
      <c r="K329" s="397">
        <f t="shared" si="235"/>
        <v>0</v>
      </c>
      <c r="L329" s="397">
        <f t="shared" si="235"/>
        <v>0</v>
      </c>
      <c r="M329" s="397">
        <f t="shared" si="235"/>
        <v>0</v>
      </c>
      <c r="N329" s="397">
        <f t="shared" si="235"/>
        <v>0</v>
      </c>
      <c r="O329" s="397">
        <f t="shared" si="235"/>
        <v>0</v>
      </c>
      <c r="P329" s="397">
        <f t="shared" si="235"/>
        <v>0</v>
      </c>
      <c r="Q329" s="397">
        <f t="shared" si="235"/>
        <v>0</v>
      </c>
      <c r="R329" s="397">
        <f t="shared" si="235"/>
        <v>0</v>
      </c>
      <c r="S329" s="366">
        <f t="shared" si="234"/>
        <v>0</v>
      </c>
    </row>
    <row r="330" spans="1:19">
      <c r="A330" s="206">
        <v>253</v>
      </c>
      <c r="B330" s="36"/>
      <c r="C330" s="9" t="s">
        <v>192</v>
      </c>
      <c r="D330" s="9"/>
      <c r="E330" s="18" t="s">
        <v>193</v>
      </c>
      <c r="F330" s="140" t="s">
        <v>191</v>
      </c>
      <c r="G330" s="365">
        <v>0</v>
      </c>
      <c r="H330" s="397">
        <f t="shared" si="232"/>
        <v>0</v>
      </c>
      <c r="I330" s="397">
        <f>'Yr 1 Operating Statement of Act'!G333/12</f>
        <v>22500</v>
      </c>
      <c r="J330" s="397">
        <f>I330</f>
        <v>22500</v>
      </c>
      <c r="K330" s="397">
        <f t="shared" ref="K330:R330" si="236">J330</f>
        <v>22500</v>
      </c>
      <c r="L330" s="397">
        <f t="shared" si="236"/>
        <v>22500</v>
      </c>
      <c r="M330" s="397">
        <f t="shared" si="236"/>
        <v>22500</v>
      </c>
      <c r="N330" s="397">
        <f t="shared" si="236"/>
        <v>22500</v>
      </c>
      <c r="O330" s="397">
        <f t="shared" si="236"/>
        <v>22500</v>
      </c>
      <c r="P330" s="397">
        <f t="shared" si="236"/>
        <v>22500</v>
      </c>
      <c r="Q330" s="397">
        <f t="shared" si="236"/>
        <v>22500</v>
      </c>
      <c r="R330" s="397">
        <f t="shared" si="236"/>
        <v>22500</v>
      </c>
      <c r="S330" s="366">
        <f t="shared" si="234"/>
        <v>225000</v>
      </c>
    </row>
    <row r="331" spans="1:19">
      <c r="A331" s="206">
        <v>254</v>
      </c>
      <c r="B331" s="36"/>
      <c r="C331" s="9" t="s">
        <v>227</v>
      </c>
      <c r="D331" s="9"/>
      <c r="E331" s="18" t="s">
        <v>224</v>
      </c>
      <c r="F331" s="140" t="s">
        <v>191</v>
      </c>
      <c r="G331" s="365">
        <f>'Yr 1 Operating Statement of Act'!G334/12</f>
        <v>0</v>
      </c>
      <c r="H331" s="397">
        <f t="shared" si="232"/>
        <v>0</v>
      </c>
      <c r="I331" s="397">
        <f t="shared" si="232"/>
        <v>0</v>
      </c>
      <c r="J331" s="397">
        <f t="shared" ref="J331:R331" si="237">I331</f>
        <v>0</v>
      </c>
      <c r="K331" s="397">
        <f t="shared" si="237"/>
        <v>0</v>
      </c>
      <c r="L331" s="397">
        <f t="shared" si="237"/>
        <v>0</v>
      </c>
      <c r="M331" s="397">
        <f t="shared" si="237"/>
        <v>0</v>
      </c>
      <c r="N331" s="397">
        <f t="shared" si="237"/>
        <v>0</v>
      </c>
      <c r="O331" s="397">
        <f t="shared" si="237"/>
        <v>0</v>
      </c>
      <c r="P331" s="397">
        <f t="shared" si="237"/>
        <v>0</v>
      </c>
      <c r="Q331" s="397">
        <f t="shared" si="237"/>
        <v>0</v>
      </c>
      <c r="R331" s="397">
        <f t="shared" si="237"/>
        <v>0</v>
      </c>
      <c r="S331" s="366">
        <f t="shared" si="234"/>
        <v>0</v>
      </c>
    </row>
    <row r="332" spans="1:19">
      <c r="A332" s="206">
        <v>255</v>
      </c>
      <c r="B332" s="36"/>
      <c r="C332" s="9" t="s">
        <v>110</v>
      </c>
      <c r="D332" s="9"/>
      <c r="E332" s="18" t="s">
        <v>90</v>
      </c>
      <c r="F332" s="140" t="s">
        <v>191</v>
      </c>
      <c r="G332" s="365">
        <f>'Yr 1 Operating Statement of Act'!G335/12</f>
        <v>0</v>
      </c>
      <c r="H332" s="397">
        <f t="shared" si="232"/>
        <v>0</v>
      </c>
      <c r="I332" s="397">
        <f t="shared" si="232"/>
        <v>0</v>
      </c>
      <c r="J332" s="397">
        <f t="shared" ref="J332:R332" si="238">I332</f>
        <v>0</v>
      </c>
      <c r="K332" s="397">
        <f t="shared" si="238"/>
        <v>0</v>
      </c>
      <c r="L332" s="397">
        <f t="shared" si="238"/>
        <v>0</v>
      </c>
      <c r="M332" s="397">
        <f t="shared" si="238"/>
        <v>0</v>
      </c>
      <c r="N332" s="397">
        <f t="shared" si="238"/>
        <v>0</v>
      </c>
      <c r="O332" s="397">
        <f t="shared" si="238"/>
        <v>0</v>
      </c>
      <c r="P332" s="397">
        <f t="shared" si="238"/>
        <v>0</v>
      </c>
      <c r="Q332" s="397">
        <f t="shared" si="238"/>
        <v>0</v>
      </c>
      <c r="R332" s="397">
        <f t="shared" si="238"/>
        <v>0</v>
      </c>
      <c r="S332" s="366">
        <f t="shared" si="234"/>
        <v>0</v>
      </c>
    </row>
    <row r="333" spans="1:19">
      <c r="A333" s="206">
        <v>256</v>
      </c>
      <c r="B333" s="36"/>
      <c r="C333" s="9" t="s">
        <v>0</v>
      </c>
      <c r="D333" s="9"/>
      <c r="E333" s="18" t="s">
        <v>194</v>
      </c>
      <c r="F333" s="140" t="s">
        <v>191</v>
      </c>
      <c r="G333" s="365">
        <f>'Yr 1 Operating Statement of Act'!G336/12</f>
        <v>0</v>
      </c>
      <c r="H333" s="397">
        <f t="shared" si="232"/>
        <v>0</v>
      </c>
      <c r="I333" s="397">
        <f t="shared" si="232"/>
        <v>0</v>
      </c>
      <c r="J333" s="397">
        <f t="shared" ref="J333:R333" si="239">I333</f>
        <v>0</v>
      </c>
      <c r="K333" s="397">
        <f t="shared" si="239"/>
        <v>0</v>
      </c>
      <c r="L333" s="397">
        <f t="shared" si="239"/>
        <v>0</v>
      </c>
      <c r="M333" s="397">
        <f t="shared" si="239"/>
        <v>0</v>
      </c>
      <c r="N333" s="397">
        <f t="shared" si="239"/>
        <v>0</v>
      </c>
      <c r="O333" s="397">
        <f t="shared" si="239"/>
        <v>0</v>
      </c>
      <c r="P333" s="397">
        <f t="shared" si="239"/>
        <v>0</v>
      </c>
      <c r="Q333" s="397">
        <f t="shared" si="239"/>
        <v>0</v>
      </c>
      <c r="R333" s="397">
        <f t="shared" si="239"/>
        <v>0</v>
      </c>
      <c r="S333" s="366">
        <f t="shared" si="234"/>
        <v>0</v>
      </c>
    </row>
    <row r="334" spans="1:19">
      <c r="A334" s="206">
        <v>257</v>
      </c>
      <c r="B334" s="36"/>
      <c r="C334" s="9" t="s">
        <v>187</v>
      </c>
      <c r="D334" s="9"/>
      <c r="E334" s="18" t="s">
        <v>149</v>
      </c>
      <c r="F334" s="140" t="s">
        <v>191</v>
      </c>
      <c r="G334" s="365">
        <f>'Yr 1 Operating Statement of Act'!G337/12</f>
        <v>0</v>
      </c>
      <c r="H334" s="397">
        <f t="shared" si="232"/>
        <v>0</v>
      </c>
      <c r="I334" s="397">
        <f t="shared" si="232"/>
        <v>0</v>
      </c>
      <c r="J334" s="397">
        <f t="shared" ref="J334:R334" si="240">I334</f>
        <v>0</v>
      </c>
      <c r="K334" s="397">
        <f t="shared" si="240"/>
        <v>0</v>
      </c>
      <c r="L334" s="397">
        <f t="shared" si="240"/>
        <v>0</v>
      </c>
      <c r="M334" s="397">
        <f t="shared" si="240"/>
        <v>0</v>
      </c>
      <c r="N334" s="397">
        <f t="shared" si="240"/>
        <v>0</v>
      </c>
      <c r="O334" s="397">
        <f t="shared" si="240"/>
        <v>0</v>
      </c>
      <c r="P334" s="397">
        <f t="shared" si="240"/>
        <v>0</v>
      </c>
      <c r="Q334" s="397">
        <f t="shared" si="240"/>
        <v>0</v>
      </c>
      <c r="R334" s="397">
        <f t="shared" si="240"/>
        <v>0</v>
      </c>
      <c r="S334" s="366">
        <f t="shared" si="234"/>
        <v>0</v>
      </c>
    </row>
    <row r="335" spans="1:19">
      <c r="A335" s="206">
        <v>258</v>
      </c>
      <c r="B335" s="36"/>
      <c r="C335" s="9" t="s">
        <v>228</v>
      </c>
      <c r="D335" s="9"/>
      <c r="E335" s="18" t="s">
        <v>229</v>
      </c>
      <c r="F335" s="140">
        <v>3100</v>
      </c>
      <c r="G335" s="365">
        <f>'Yr 1 Operating Statement of Act'!G338/12</f>
        <v>0</v>
      </c>
      <c r="H335" s="397">
        <f t="shared" si="232"/>
        <v>0</v>
      </c>
      <c r="I335" s="397">
        <f t="shared" si="232"/>
        <v>0</v>
      </c>
      <c r="J335" s="397">
        <f t="shared" ref="J335:R335" si="241">I335</f>
        <v>0</v>
      </c>
      <c r="K335" s="397">
        <f t="shared" si="241"/>
        <v>0</v>
      </c>
      <c r="L335" s="397">
        <f t="shared" si="241"/>
        <v>0</v>
      </c>
      <c r="M335" s="397">
        <f t="shared" si="241"/>
        <v>0</v>
      </c>
      <c r="N335" s="397">
        <f t="shared" si="241"/>
        <v>0</v>
      </c>
      <c r="O335" s="397">
        <f t="shared" si="241"/>
        <v>0</v>
      </c>
      <c r="P335" s="397">
        <f t="shared" si="241"/>
        <v>0</v>
      </c>
      <c r="Q335" s="397">
        <f t="shared" si="241"/>
        <v>0</v>
      </c>
      <c r="R335" s="397">
        <f t="shared" si="241"/>
        <v>0</v>
      </c>
      <c r="S335" s="366">
        <f t="shared" si="234"/>
        <v>0</v>
      </c>
    </row>
    <row r="336" spans="1:19">
      <c r="A336" s="206">
        <v>259</v>
      </c>
      <c r="B336" s="36"/>
      <c r="C336" s="9" t="s">
        <v>143</v>
      </c>
      <c r="D336" s="9"/>
      <c r="E336" s="18" t="s">
        <v>144</v>
      </c>
      <c r="F336" s="140" t="s">
        <v>191</v>
      </c>
      <c r="G336" s="365">
        <f>'Yr 1 Operating Statement of Act'!G339/12</f>
        <v>0</v>
      </c>
      <c r="H336" s="397">
        <f t="shared" si="232"/>
        <v>0</v>
      </c>
      <c r="I336" s="397">
        <f t="shared" si="232"/>
        <v>0</v>
      </c>
      <c r="J336" s="397">
        <f t="shared" ref="J336:R336" si="242">I336</f>
        <v>0</v>
      </c>
      <c r="K336" s="397">
        <f t="shared" si="242"/>
        <v>0</v>
      </c>
      <c r="L336" s="397">
        <f t="shared" si="242"/>
        <v>0</v>
      </c>
      <c r="M336" s="397">
        <f t="shared" si="242"/>
        <v>0</v>
      </c>
      <c r="N336" s="397">
        <f t="shared" si="242"/>
        <v>0</v>
      </c>
      <c r="O336" s="397">
        <f t="shared" si="242"/>
        <v>0</v>
      </c>
      <c r="P336" s="397">
        <f t="shared" si="242"/>
        <v>0</v>
      </c>
      <c r="Q336" s="397">
        <f t="shared" si="242"/>
        <v>0</v>
      </c>
      <c r="R336" s="397">
        <f t="shared" si="242"/>
        <v>0</v>
      </c>
      <c r="S336" s="366">
        <f t="shared" si="234"/>
        <v>0</v>
      </c>
    </row>
    <row r="337" spans="1:19">
      <c r="A337" s="206">
        <v>260</v>
      </c>
      <c r="B337" s="36"/>
      <c r="C337" s="9" t="s">
        <v>93</v>
      </c>
      <c r="D337" s="9"/>
      <c r="E337" s="18" t="s">
        <v>94</v>
      </c>
      <c r="F337" s="140" t="s">
        <v>191</v>
      </c>
      <c r="G337" s="365">
        <f>'Yr 1 Operating Statement of Act'!G340/12</f>
        <v>0</v>
      </c>
      <c r="H337" s="397">
        <f t="shared" si="232"/>
        <v>0</v>
      </c>
      <c r="I337" s="397">
        <f t="shared" si="232"/>
        <v>0</v>
      </c>
      <c r="J337" s="397">
        <f t="shared" ref="J337:R337" si="243">I337</f>
        <v>0</v>
      </c>
      <c r="K337" s="397">
        <f t="shared" si="243"/>
        <v>0</v>
      </c>
      <c r="L337" s="397">
        <f t="shared" si="243"/>
        <v>0</v>
      </c>
      <c r="M337" s="397">
        <f t="shared" si="243"/>
        <v>0</v>
      </c>
      <c r="N337" s="397">
        <f t="shared" si="243"/>
        <v>0</v>
      </c>
      <c r="O337" s="397">
        <f t="shared" si="243"/>
        <v>0</v>
      </c>
      <c r="P337" s="397">
        <f t="shared" si="243"/>
        <v>0</v>
      </c>
      <c r="Q337" s="397">
        <f t="shared" si="243"/>
        <v>0</v>
      </c>
      <c r="R337" s="397">
        <f t="shared" si="243"/>
        <v>0</v>
      </c>
      <c r="S337" s="366">
        <f t="shared" si="234"/>
        <v>0</v>
      </c>
    </row>
    <row r="338" spans="1:19">
      <c r="A338" s="206">
        <v>261</v>
      </c>
      <c r="B338" s="36"/>
      <c r="C338" s="9" t="s">
        <v>295</v>
      </c>
      <c r="D338" s="9"/>
      <c r="E338" s="18" t="s">
        <v>97</v>
      </c>
      <c r="F338" s="140" t="s">
        <v>12</v>
      </c>
      <c r="G338" s="365">
        <f>'Yr 1 Operating Statement of Act'!G341/12</f>
        <v>0</v>
      </c>
      <c r="H338" s="397">
        <f t="shared" si="232"/>
        <v>0</v>
      </c>
      <c r="I338" s="397">
        <f t="shared" si="232"/>
        <v>0</v>
      </c>
      <c r="J338" s="397">
        <f t="shared" ref="J338:R338" si="244">I338</f>
        <v>0</v>
      </c>
      <c r="K338" s="397">
        <f t="shared" si="244"/>
        <v>0</v>
      </c>
      <c r="L338" s="397">
        <f t="shared" si="244"/>
        <v>0</v>
      </c>
      <c r="M338" s="397">
        <f t="shared" si="244"/>
        <v>0</v>
      </c>
      <c r="N338" s="397">
        <f t="shared" si="244"/>
        <v>0</v>
      </c>
      <c r="O338" s="397">
        <f t="shared" si="244"/>
        <v>0</v>
      </c>
      <c r="P338" s="397">
        <f t="shared" si="244"/>
        <v>0</v>
      </c>
      <c r="Q338" s="397">
        <f t="shared" si="244"/>
        <v>0</v>
      </c>
      <c r="R338" s="397">
        <f t="shared" si="244"/>
        <v>0</v>
      </c>
      <c r="S338" s="366">
        <f t="shared" si="234"/>
        <v>0</v>
      </c>
    </row>
    <row r="339" spans="1:19">
      <c r="A339" s="206">
        <v>262</v>
      </c>
      <c r="B339" s="36"/>
      <c r="C339" s="9" t="s">
        <v>98</v>
      </c>
      <c r="D339" s="9"/>
      <c r="E339" s="18" t="s">
        <v>99</v>
      </c>
      <c r="F339" s="140" t="s">
        <v>12</v>
      </c>
      <c r="G339" s="365">
        <f>'Yr 1 Operating Statement of Act'!G342/12</f>
        <v>0</v>
      </c>
      <c r="H339" s="397">
        <f t="shared" si="232"/>
        <v>0</v>
      </c>
      <c r="I339" s="397">
        <f t="shared" si="232"/>
        <v>0</v>
      </c>
      <c r="J339" s="397">
        <f t="shared" ref="J339:R339" si="245">I339</f>
        <v>0</v>
      </c>
      <c r="K339" s="397">
        <f t="shared" si="245"/>
        <v>0</v>
      </c>
      <c r="L339" s="397">
        <f t="shared" si="245"/>
        <v>0</v>
      </c>
      <c r="M339" s="397">
        <f t="shared" si="245"/>
        <v>0</v>
      </c>
      <c r="N339" s="397">
        <f t="shared" si="245"/>
        <v>0</v>
      </c>
      <c r="O339" s="397">
        <f t="shared" si="245"/>
        <v>0</v>
      </c>
      <c r="P339" s="397">
        <f t="shared" si="245"/>
        <v>0</v>
      </c>
      <c r="Q339" s="397">
        <f t="shared" si="245"/>
        <v>0</v>
      </c>
      <c r="R339" s="397">
        <f t="shared" si="245"/>
        <v>0</v>
      </c>
      <c r="S339" s="366">
        <f t="shared" si="234"/>
        <v>0</v>
      </c>
    </row>
    <row r="340" spans="1:19">
      <c r="A340" s="206">
        <v>263</v>
      </c>
      <c r="B340" s="36"/>
      <c r="C340" s="9" t="s">
        <v>100</v>
      </c>
      <c r="D340" s="9"/>
      <c r="E340" s="18" t="s">
        <v>101</v>
      </c>
      <c r="F340" s="140" t="s">
        <v>12</v>
      </c>
      <c r="G340" s="365">
        <f>'Yr 1 Operating Statement of Act'!G343/12</f>
        <v>0</v>
      </c>
      <c r="H340" s="397">
        <f t="shared" si="232"/>
        <v>0</v>
      </c>
      <c r="I340" s="397">
        <f t="shared" si="232"/>
        <v>0</v>
      </c>
      <c r="J340" s="397">
        <f t="shared" ref="J340:R340" si="246">I340</f>
        <v>0</v>
      </c>
      <c r="K340" s="397">
        <f t="shared" si="246"/>
        <v>0</v>
      </c>
      <c r="L340" s="397">
        <f t="shared" si="246"/>
        <v>0</v>
      </c>
      <c r="M340" s="397">
        <f t="shared" si="246"/>
        <v>0</v>
      </c>
      <c r="N340" s="397">
        <f t="shared" si="246"/>
        <v>0</v>
      </c>
      <c r="O340" s="397">
        <f t="shared" si="246"/>
        <v>0</v>
      </c>
      <c r="P340" s="397">
        <f t="shared" si="246"/>
        <v>0</v>
      </c>
      <c r="Q340" s="397">
        <f t="shared" si="246"/>
        <v>0</v>
      </c>
      <c r="R340" s="397">
        <f t="shared" si="246"/>
        <v>0</v>
      </c>
      <c r="S340" s="366">
        <f t="shared" si="234"/>
        <v>0</v>
      </c>
    </row>
    <row r="341" spans="1:19">
      <c r="A341" s="206">
        <v>264</v>
      </c>
      <c r="B341" s="36"/>
      <c r="C341" s="9" t="s">
        <v>219</v>
      </c>
      <c r="D341" s="9"/>
      <c r="E341" s="18" t="s">
        <v>220</v>
      </c>
      <c r="F341" s="140" t="s">
        <v>12</v>
      </c>
      <c r="G341" s="365">
        <f>'Yr 1 Operating Statement of Act'!G344/12</f>
        <v>0</v>
      </c>
      <c r="H341" s="397">
        <f t="shared" si="232"/>
        <v>0</v>
      </c>
      <c r="I341" s="397">
        <f t="shared" si="232"/>
        <v>0</v>
      </c>
      <c r="J341" s="397">
        <f t="shared" ref="J341:R341" si="247">I341</f>
        <v>0</v>
      </c>
      <c r="K341" s="397">
        <f t="shared" si="247"/>
        <v>0</v>
      </c>
      <c r="L341" s="397">
        <f t="shared" si="247"/>
        <v>0</v>
      </c>
      <c r="M341" s="397">
        <f t="shared" si="247"/>
        <v>0</v>
      </c>
      <c r="N341" s="397">
        <f t="shared" si="247"/>
        <v>0</v>
      </c>
      <c r="O341" s="397">
        <f t="shared" si="247"/>
        <v>0</v>
      </c>
      <c r="P341" s="397">
        <f t="shared" si="247"/>
        <v>0</v>
      </c>
      <c r="Q341" s="397">
        <f t="shared" si="247"/>
        <v>0</v>
      </c>
      <c r="R341" s="397">
        <f t="shared" si="247"/>
        <v>0</v>
      </c>
      <c r="S341" s="366">
        <f t="shared" si="234"/>
        <v>0</v>
      </c>
    </row>
    <row r="342" spans="1:19">
      <c r="A342" s="206">
        <v>265</v>
      </c>
      <c r="B342" s="36"/>
      <c r="C342" s="9" t="s">
        <v>102</v>
      </c>
      <c r="D342" s="9"/>
      <c r="E342" s="18" t="s">
        <v>103</v>
      </c>
      <c r="F342" s="140" t="s">
        <v>12</v>
      </c>
      <c r="G342" s="365">
        <f>'Yr 1 Operating Statement of Act'!G345/12</f>
        <v>0</v>
      </c>
      <c r="H342" s="397">
        <f t="shared" si="232"/>
        <v>0</v>
      </c>
      <c r="I342" s="397">
        <f t="shared" si="232"/>
        <v>0</v>
      </c>
      <c r="J342" s="397">
        <f t="shared" ref="J342:R342" si="248">I342</f>
        <v>0</v>
      </c>
      <c r="K342" s="397">
        <f t="shared" si="248"/>
        <v>0</v>
      </c>
      <c r="L342" s="397">
        <f t="shared" si="248"/>
        <v>0</v>
      </c>
      <c r="M342" s="397">
        <f t="shared" si="248"/>
        <v>0</v>
      </c>
      <c r="N342" s="397">
        <f t="shared" si="248"/>
        <v>0</v>
      </c>
      <c r="O342" s="397">
        <f t="shared" si="248"/>
        <v>0</v>
      </c>
      <c r="P342" s="397">
        <f t="shared" si="248"/>
        <v>0</v>
      </c>
      <c r="Q342" s="397">
        <f t="shared" si="248"/>
        <v>0</v>
      </c>
      <c r="R342" s="397">
        <f t="shared" si="248"/>
        <v>0</v>
      </c>
      <c r="S342" s="366">
        <f t="shared" si="234"/>
        <v>0</v>
      </c>
    </row>
    <row r="343" spans="1:19">
      <c r="A343" s="206">
        <v>266</v>
      </c>
      <c r="B343" s="36"/>
      <c r="C343" s="9" t="s">
        <v>104</v>
      </c>
      <c r="D343" s="9"/>
      <c r="E343" s="18" t="s">
        <v>105</v>
      </c>
      <c r="F343" s="140" t="s">
        <v>12</v>
      </c>
      <c r="G343" s="365">
        <f>'Yr 1 Operating Statement of Act'!G346/12</f>
        <v>0</v>
      </c>
      <c r="H343" s="397">
        <f t="shared" si="232"/>
        <v>0</v>
      </c>
      <c r="I343" s="397">
        <f t="shared" si="232"/>
        <v>0</v>
      </c>
      <c r="J343" s="397">
        <f t="shared" ref="J343:R343" si="249">I343</f>
        <v>0</v>
      </c>
      <c r="K343" s="397">
        <f t="shared" si="249"/>
        <v>0</v>
      </c>
      <c r="L343" s="397">
        <f t="shared" si="249"/>
        <v>0</v>
      </c>
      <c r="M343" s="397">
        <f t="shared" si="249"/>
        <v>0</v>
      </c>
      <c r="N343" s="397">
        <f t="shared" si="249"/>
        <v>0</v>
      </c>
      <c r="O343" s="397">
        <f t="shared" si="249"/>
        <v>0</v>
      </c>
      <c r="P343" s="397">
        <f t="shared" si="249"/>
        <v>0</v>
      </c>
      <c r="Q343" s="397">
        <f t="shared" si="249"/>
        <v>0</v>
      </c>
      <c r="R343" s="397">
        <f t="shared" si="249"/>
        <v>0</v>
      </c>
      <c r="S343" s="366">
        <f t="shared" si="234"/>
        <v>0</v>
      </c>
    </row>
    <row r="344" spans="1:19">
      <c r="A344" s="206">
        <v>267</v>
      </c>
      <c r="B344" s="36"/>
      <c r="C344" s="85" t="s">
        <v>283</v>
      </c>
      <c r="D344" s="9"/>
      <c r="E344" s="18"/>
      <c r="F344" s="140"/>
      <c r="G344" s="365"/>
      <c r="H344" s="397"/>
      <c r="I344" s="397"/>
      <c r="J344" s="397"/>
      <c r="K344" s="397"/>
      <c r="L344" s="397"/>
      <c r="M344" s="397"/>
      <c r="N344" s="397"/>
      <c r="O344" s="397"/>
      <c r="P344" s="397"/>
      <c r="Q344" s="397"/>
      <c r="R344" s="366"/>
      <c r="S344" s="366">
        <f t="shared" si="234"/>
        <v>0</v>
      </c>
    </row>
    <row r="345" spans="1:19">
      <c r="A345" s="206">
        <v>268</v>
      </c>
      <c r="B345" s="36"/>
      <c r="C345" s="85"/>
      <c r="D345" s="9"/>
      <c r="E345" s="18"/>
      <c r="F345" s="140"/>
      <c r="G345" s="365"/>
      <c r="H345" s="397"/>
      <c r="I345" s="397"/>
      <c r="J345" s="397"/>
      <c r="K345" s="397"/>
      <c r="L345" s="397"/>
      <c r="M345" s="397"/>
      <c r="N345" s="397"/>
      <c r="O345" s="397"/>
      <c r="P345" s="397"/>
      <c r="Q345" s="397"/>
      <c r="R345" s="366"/>
      <c r="S345" s="366">
        <f t="shared" si="234"/>
        <v>0</v>
      </c>
    </row>
    <row r="346" spans="1:19">
      <c r="A346" s="206">
        <v>269</v>
      </c>
      <c r="B346" s="83"/>
      <c r="D346" s="13"/>
      <c r="E346" s="14"/>
      <c r="F346" s="148"/>
      <c r="G346" s="380"/>
      <c r="H346" s="405"/>
      <c r="I346" s="405"/>
      <c r="J346" s="405"/>
      <c r="K346" s="405"/>
      <c r="L346" s="405"/>
      <c r="M346" s="405"/>
      <c r="N346" s="405"/>
      <c r="O346" s="405"/>
      <c r="P346" s="405"/>
      <c r="Q346" s="405"/>
      <c r="R346" s="432"/>
      <c r="S346" s="366">
        <f t="shared" si="234"/>
        <v>0</v>
      </c>
    </row>
    <row r="347" spans="1:19">
      <c r="A347" s="207">
        <v>270</v>
      </c>
      <c r="B347" s="87" t="s">
        <v>195</v>
      </c>
      <c r="C347" s="51"/>
      <c r="D347" s="51"/>
      <c r="E347" s="49"/>
      <c r="F347" s="144"/>
      <c r="G347" s="384">
        <f t="shared" ref="G347:S347" si="250">SUM(G328:G346)</f>
        <v>0</v>
      </c>
      <c r="H347" s="408">
        <f t="shared" si="250"/>
        <v>0</v>
      </c>
      <c r="I347" s="408">
        <f t="shared" si="250"/>
        <v>22500</v>
      </c>
      <c r="J347" s="408">
        <f t="shared" si="250"/>
        <v>22500</v>
      </c>
      <c r="K347" s="408">
        <f t="shared" si="250"/>
        <v>22500</v>
      </c>
      <c r="L347" s="408">
        <f t="shared" si="250"/>
        <v>22500</v>
      </c>
      <c r="M347" s="408">
        <f t="shared" si="250"/>
        <v>22500</v>
      </c>
      <c r="N347" s="408">
        <f t="shared" si="250"/>
        <v>22500</v>
      </c>
      <c r="O347" s="408">
        <f t="shared" si="250"/>
        <v>22500</v>
      </c>
      <c r="P347" s="408">
        <f t="shared" si="250"/>
        <v>22500</v>
      </c>
      <c r="Q347" s="408">
        <f t="shared" si="250"/>
        <v>22500</v>
      </c>
      <c r="R347" s="428">
        <f t="shared" si="250"/>
        <v>22500</v>
      </c>
      <c r="S347" s="428">
        <f t="shared" si="250"/>
        <v>225000</v>
      </c>
    </row>
    <row r="348" spans="1:19" ht="6" customHeight="1">
      <c r="A348" s="206"/>
      <c r="B348" s="36"/>
      <c r="C348" s="9"/>
      <c r="D348" s="9"/>
      <c r="E348" s="18"/>
      <c r="F348" s="140"/>
      <c r="G348" s="365"/>
      <c r="H348" s="397"/>
      <c r="I348" s="397"/>
      <c r="J348" s="397"/>
      <c r="K348" s="397"/>
      <c r="L348" s="397"/>
      <c r="M348" s="397"/>
      <c r="N348" s="397"/>
      <c r="O348" s="397"/>
      <c r="P348" s="397"/>
      <c r="Q348" s="397"/>
      <c r="R348" s="366"/>
      <c r="S348" s="366"/>
    </row>
    <row r="349" spans="1:19" ht="7.5" customHeight="1">
      <c r="A349" s="206"/>
      <c r="B349" s="36"/>
      <c r="C349" s="9"/>
      <c r="D349" s="9"/>
      <c r="E349" s="18"/>
      <c r="F349" s="140"/>
      <c r="G349" s="365"/>
      <c r="H349" s="397"/>
      <c r="I349" s="397"/>
      <c r="J349" s="397"/>
      <c r="K349" s="397"/>
      <c r="L349" s="397"/>
      <c r="M349" s="397"/>
      <c r="N349" s="397"/>
      <c r="O349" s="397"/>
      <c r="P349" s="397"/>
      <c r="Q349" s="397"/>
      <c r="R349" s="366"/>
      <c r="S349" s="366"/>
    </row>
    <row r="350" spans="1:19" s="4" customFormat="1">
      <c r="A350" s="206" t="s">
        <v>33</v>
      </c>
      <c r="B350" s="88" t="s">
        <v>289</v>
      </c>
      <c r="C350" s="53"/>
      <c r="D350" s="53"/>
      <c r="E350" s="61"/>
      <c r="F350" s="139"/>
      <c r="G350" s="383"/>
      <c r="H350" s="400"/>
      <c r="I350" s="400"/>
      <c r="J350" s="400"/>
      <c r="K350" s="400"/>
      <c r="L350" s="400"/>
      <c r="M350" s="400"/>
      <c r="N350" s="400"/>
      <c r="O350" s="400"/>
      <c r="P350" s="400"/>
      <c r="Q350" s="400"/>
      <c r="R350" s="425"/>
      <c r="S350" s="425"/>
    </row>
    <row r="351" spans="1:19">
      <c r="A351" s="206">
        <v>271</v>
      </c>
      <c r="B351" s="36"/>
      <c r="C351" s="9" t="s">
        <v>76</v>
      </c>
      <c r="D351" s="9"/>
      <c r="E351" s="18" t="s">
        <v>222</v>
      </c>
      <c r="F351" s="140" t="s">
        <v>13</v>
      </c>
      <c r="G351" s="365">
        <f>'Yr 1 Operating Statement of Act'!G354/12</f>
        <v>0</v>
      </c>
      <c r="H351" s="397">
        <f t="shared" ref="H351:I358" si="251">G351</f>
        <v>0</v>
      </c>
      <c r="I351" s="397">
        <f t="shared" si="251"/>
        <v>0</v>
      </c>
      <c r="J351" s="397">
        <f t="shared" ref="J351:R351" si="252">I351</f>
        <v>0</v>
      </c>
      <c r="K351" s="397">
        <f t="shared" si="252"/>
        <v>0</v>
      </c>
      <c r="L351" s="397">
        <f t="shared" si="252"/>
        <v>0</v>
      </c>
      <c r="M351" s="397">
        <f t="shared" si="252"/>
        <v>0</v>
      </c>
      <c r="N351" s="397">
        <f t="shared" si="252"/>
        <v>0</v>
      </c>
      <c r="O351" s="397">
        <f t="shared" si="252"/>
        <v>0</v>
      </c>
      <c r="P351" s="397">
        <f t="shared" si="252"/>
        <v>0</v>
      </c>
      <c r="Q351" s="397">
        <f t="shared" si="252"/>
        <v>0</v>
      </c>
      <c r="R351" s="397">
        <f t="shared" si="252"/>
        <v>0</v>
      </c>
      <c r="S351" s="366">
        <f t="shared" ref="S351:S361" si="253">SUM(G351:R351)</f>
        <v>0</v>
      </c>
    </row>
    <row r="352" spans="1:19">
      <c r="A352" s="206">
        <v>272</v>
      </c>
      <c r="B352" s="36"/>
      <c r="C352" s="9" t="s">
        <v>110</v>
      </c>
      <c r="D352" s="9"/>
      <c r="E352" s="18" t="s">
        <v>90</v>
      </c>
      <c r="F352" s="140" t="s">
        <v>196</v>
      </c>
      <c r="G352" s="365">
        <f>'Yr 1 Operating Statement of Act'!G355/12</f>
        <v>0</v>
      </c>
      <c r="H352" s="397">
        <f t="shared" si="251"/>
        <v>0</v>
      </c>
      <c r="I352" s="397">
        <f t="shared" si="251"/>
        <v>0</v>
      </c>
      <c r="J352" s="397">
        <f t="shared" ref="J352:R352" si="254">I352</f>
        <v>0</v>
      </c>
      <c r="K352" s="397">
        <f t="shared" si="254"/>
        <v>0</v>
      </c>
      <c r="L352" s="397">
        <f t="shared" si="254"/>
        <v>0</v>
      </c>
      <c r="M352" s="397">
        <f t="shared" si="254"/>
        <v>0</v>
      </c>
      <c r="N352" s="397">
        <f t="shared" si="254"/>
        <v>0</v>
      </c>
      <c r="O352" s="397">
        <f t="shared" si="254"/>
        <v>0</v>
      </c>
      <c r="P352" s="397">
        <f t="shared" si="254"/>
        <v>0</v>
      </c>
      <c r="Q352" s="397">
        <f t="shared" si="254"/>
        <v>0</v>
      </c>
      <c r="R352" s="397">
        <f t="shared" si="254"/>
        <v>0</v>
      </c>
      <c r="S352" s="366">
        <f t="shared" si="253"/>
        <v>0</v>
      </c>
    </row>
    <row r="353" spans="1:19">
      <c r="A353" s="206">
        <v>273</v>
      </c>
      <c r="B353" s="36"/>
      <c r="C353" s="9" t="s">
        <v>295</v>
      </c>
      <c r="D353" s="9"/>
      <c r="E353" s="18" t="s">
        <v>97</v>
      </c>
      <c r="F353" s="140" t="s">
        <v>13</v>
      </c>
      <c r="G353" s="365">
        <f>'Yr 1 Operating Statement of Act'!G356/12</f>
        <v>0</v>
      </c>
      <c r="H353" s="397">
        <f t="shared" si="251"/>
        <v>0</v>
      </c>
      <c r="I353" s="397">
        <f t="shared" si="251"/>
        <v>0</v>
      </c>
      <c r="J353" s="397">
        <f t="shared" ref="J353:R353" si="255">I353</f>
        <v>0</v>
      </c>
      <c r="K353" s="397">
        <f t="shared" si="255"/>
        <v>0</v>
      </c>
      <c r="L353" s="397">
        <f t="shared" si="255"/>
        <v>0</v>
      </c>
      <c r="M353" s="397">
        <f t="shared" si="255"/>
        <v>0</v>
      </c>
      <c r="N353" s="397">
        <f t="shared" si="255"/>
        <v>0</v>
      </c>
      <c r="O353" s="397">
        <f t="shared" si="255"/>
        <v>0</v>
      </c>
      <c r="P353" s="397">
        <f t="shared" si="255"/>
        <v>0</v>
      </c>
      <c r="Q353" s="397">
        <f t="shared" si="255"/>
        <v>0</v>
      </c>
      <c r="R353" s="397">
        <f t="shared" si="255"/>
        <v>0</v>
      </c>
      <c r="S353" s="366">
        <f t="shared" si="253"/>
        <v>0</v>
      </c>
    </row>
    <row r="354" spans="1:19">
      <c r="A354" s="206">
        <v>274</v>
      </c>
      <c r="B354" s="36"/>
      <c r="C354" s="9" t="s">
        <v>98</v>
      </c>
      <c r="D354" s="9"/>
      <c r="E354" s="18" t="s">
        <v>99</v>
      </c>
      <c r="F354" s="140" t="s">
        <v>13</v>
      </c>
      <c r="G354" s="365">
        <f>'Yr 1 Operating Statement of Act'!G357/12</f>
        <v>0</v>
      </c>
      <c r="H354" s="397">
        <f t="shared" si="251"/>
        <v>0</v>
      </c>
      <c r="I354" s="397">
        <f t="shared" si="251"/>
        <v>0</v>
      </c>
      <c r="J354" s="397">
        <f t="shared" ref="J354:R354" si="256">I354</f>
        <v>0</v>
      </c>
      <c r="K354" s="397">
        <f t="shared" si="256"/>
        <v>0</v>
      </c>
      <c r="L354" s="397">
        <f t="shared" si="256"/>
        <v>0</v>
      </c>
      <c r="M354" s="397">
        <f t="shared" si="256"/>
        <v>0</v>
      </c>
      <c r="N354" s="397">
        <f t="shared" si="256"/>
        <v>0</v>
      </c>
      <c r="O354" s="397">
        <f t="shared" si="256"/>
        <v>0</v>
      </c>
      <c r="P354" s="397">
        <f t="shared" si="256"/>
        <v>0</v>
      </c>
      <c r="Q354" s="397">
        <f t="shared" si="256"/>
        <v>0</v>
      </c>
      <c r="R354" s="397">
        <f t="shared" si="256"/>
        <v>0</v>
      </c>
      <c r="S354" s="366">
        <f t="shared" si="253"/>
        <v>0</v>
      </c>
    </row>
    <row r="355" spans="1:19">
      <c r="A355" s="206">
        <v>275</v>
      </c>
      <c r="B355" s="36"/>
      <c r="C355" s="9" t="s">
        <v>100</v>
      </c>
      <c r="D355" s="9"/>
      <c r="E355" s="18" t="s">
        <v>101</v>
      </c>
      <c r="F355" s="140" t="s">
        <v>13</v>
      </c>
      <c r="G355" s="365">
        <f>'Yr 1 Operating Statement of Act'!G358/12</f>
        <v>0</v>
      </c>
      <c r="H355" s="397">
        <f t="shared" si="251"/>
        <v>0</v>
      </c>
      <c r="I355" s="397">
        <f t="shared" si="251"/>
        <v>0</v>
      </c>
      <c r="J355" s="397">
        <f t="shared" ref="J355:R355" si="257">I355</f>
        <v>0</v>
      </c>
      <c r="K355" s="397">
        <f t="shared" si="257"/>
        <v>0</v>
      </c>
      <c r="L355" s="397">
        <f t="shared" si="257"/>
        <v>0</v>
      </c>
      <c r="M355" s="397">
        <f t="shared" si="257"/>
        <v>0</v>
      </c>
      <c r="N355" s="397">
        <f t="shared" si="257"/>
        <v>0</v>
      </c>
      <c r="O355" s="397">
        <f t="shared" si="257"/>
        <v>0</v>
      </c>
      <c r="P355" s="397">
        <f t="shared" si="257"/>
        <v>0</v>
      </c>
      <c r="Q355" s="397">
        <f t="shared" si="257"/>
        <v>0</v>
      </c>
      <c r="R355" s="397">
        <f t="shared" si="257"/>
        <v>0</v>
      </c>
      <c r="S355" s="366">
        <f t="shared" si="253"/>
        <v>0</v>
      </c>
    </row>
    <row r="356" spans="1:19">
      <c r="A356" s="206">
        <v>276</v>
      </c>
      <c r="B356" s="36"/>
      <c r="C356" s="9" t="s">
        <v>219</v>
      </c>
      <c r="D356" s="9"/>
      <c r="E356" s="18" t="s">
        <v>220</v>
      </c>
      <c r="F356" s="140" t="s">
        <v>13</v>
      </c>
      <c r="G356" s="365">
        <f>'Yr 1 Operating Statement of Act'!G359/12</f>
        <v>0</v>
      </c>
      <c r="H356" s="397">
        <f t="shared" si="251"/>
        <v>0</v>
      </c>
      <c r="I356" s="397">
        <f t="shared" si="251"/>
        <v>0</v>
      </c>
      <c r="J356" s="397">
        <f t="shared" ref="J356:R356" si="258">I356</f>
        <v>0</v>
      </c>
      <c r="K356" s="397">
        <f t="shared" si="258"/>
        <v>0</v>
      </c>
      <c r="L356" s="397">
        <f t="shared" si="258"/>
        <v>0</v>
      </c>
      <c r="M356" s="397">
        <f t="shared" si="258"/>
        <v>0</v>
      </c>
      <c r="N356" s="397">
        <f t="shared" si="258"/>
        <v>0</v>
      </c>
      <c r="O356" s="397">
        <f t="shared" si="258"/>
        <v>0</v>
      </c>
      <c r="P356" s="397">
        <f t="shared" si="258"/>
        <v>0</v>
      </c>
      <c r="Q356" s="397">
        <f t="shared" si="258"/>
        <v>0</v>
      </c>
      <c r="R356" s="397">
        <f t="shared" si="258"/>
        <v>0</v>
      </c>
      <c r="S356" s="366">
        <f t="shared" si="253"/>
        <v>0</v>
      </c>
    </row>
    <row r="357" spans="1:19">
      <c r="A357" s="206">
        <v>277</v>
      </c>
      <c r="B357" s="36"/>
      <c r="C357" s="9" t="s">
        <v>102</v>
      </c>
      <c r="D357" s="9"/>
      <c r="E357" s="18" t="s">
        <v>103</v>
      </c>
      <c r="F357" s="140" t="s">
        <v>13</v>
      </c>
      <c r="G357" s="365">
        <f>'Yr 1 Operating Statement of Act'!G360/12</f>
        <v>0</v>
      </c>
      <c r="H357" s="397">
        <f t="shared" si="251"/>
        <v>0</v>
      </c>
      <c r="I357" s="397">
        <f t="shared" si="251"/>
        <v>0</v>
      </c>
      <c r="J357" s="397">
        <f t="shared" ref="J357:R357" si="259">I357</f>
        <v>0</v>
      </c>
      <c r="K357" s="397">
        <f t="shared" si="259"/>
        <v>0</v>
      </c>
      <c r="L357" s="397">
        <f t="shared" si="259"/>
        <v>0</v>
      </c>
      <c r="M357" s="397">
        <f t="shared" si="259"/>
        <v>0</v>
      </c>
      <c r="N357" s="397">
        <f t="shared" si="259"/>
        <v>0</v>
      </c>
      <c r="O357" s="397">
        <f t="shared" si="259"/>
        <v>0</v>
      </c>
      <c r="P357" s="397">
        <f t="shared" si="259"/>
        <v>0</v>
      </c>
      <c r="Q357" s="397">
        <f t="shared" si="259"/>
        <v>0</v>
      </c>
      <c r="R357" s="397">
        <f t="shared" si="259"/>
        <v>0</v>
      </c>
      <c r="S357" s="366">
        <f t="shared" si="253"/>
        <v>0</v>
      </c>
    </row>
    <row r="358" spans="1:19">
      <c r="A358" s="206">
        <v>278</v>
      </c>
      <c r="B358" s="36"/>
      <c r="C358" s="9" t="s">
        <v>104</v>
      </c>
      <c r="D358" s="9"/>
      <c r="E358" s="18" t="s">
        <v>105</v>
      </c>
      <c r="F358" s="140" t="s">
        <v>13</v>
      </c>
      <c r="G358" s="365">
        <f>'Yr 1 Operating Statement of Act'!G361/12</f>
        <v>0</v>
      </c>
      <c r="H358" s="397">
        <f t="shared" si="251"/>
        <v>0</v>
      </c>
      <c r="I358" s="397">
        <f t="shared" si="251"/>
        <v>0</v>
      </c>
      <c r="J358" s="397">
        <f t="shared" ref="J358:R358" si="260">I358</f>
        <v>0</v>
      </c>
      <c r="K358" s="397">
        <f t="shared" si="260"/>
        <v>0</v>
      </c>
      <c r="L358" s="397">
        <f t="shared" si="260"/>
        <v>0</v>
      </c>
      <c r="M358" s="397">
        <f t="shared" si="260"/>
        <v>0</v>
      </c>
      <c r="N358" s="397">
        <f t="shared" si="260"/>
        <v>0</v>
      </c>
      <c r="O358" s="397">
        <f t="shared" si="260"/>
        <v>0</v>
      </c>
      <c r="P358" s="397">
        <f t="shared" si="260"/>
        <v>0</v>
      </c>
      <c r="Q358" s="397">
        <f t="shared" si="260"/>
        <v>0</v>
      </c>
      <c r="R358" s="397">
        <f t="shared" si="260"/>
        <v>0</v>
      </c>
      <c r="S358" s="366">
        <f t="shared" si="253"/>
        <v>0</v>
      </c>
    </row>
    <row r="359" spans="1:19">
      <c r="A359" s="206">
        <v>279</v>
      </c>
      <c r="B359" s="36"/>
      <c r="C359" s="85" t="s">
        <v>283</v>
      </c>
      <c r="D359" s="9"/>
      <c r="E359" s="18"/>
      <c r="F359" s="140"/>
      <c r="G359" s="365"/>
      <c r="H359" s="397"/>
      <c r="I359" s="397"/>
      <c r="J359" s="397"/>
      <c r="K359" s="397"/>
      <c r="L359" s="397"/>
      <c r="M359" s="397"/>
      <c r="N359" s="397"/>
      <c r="O359" s="397"/>
      <c r="P359" s="397"/>
      <c r="Q359" s="397"/>
      <c r="R359" s="366"/>
      <c r="S359" s="366">
        <f t="shared" si="253"/>
        <v>0</v>
      </c>
    </row>
    <row r="360" spans="1:19">
      <c r="A360" s="206">
        <v>280</v>
      </c>
      <c r="B360" s="36"/>
      <c r="C360" s="85"/>
      <c r="D360" s="9"/>
      <c r="E360" s="18"/>
      <c r="F360" s="140"/>
      <c r="G360" s="365"/>
      <c r="H360" s="397"/>
      <c r="I360" s="397"/>
      <c r="J360" s="397"/>
      <c r="K360" s="397"/>
      <c r="L360" s="397"/>
      <c r="M360" s="397"/>
      <c r="N360" s="397"/>
      <c r="O360" s="397"/>
      <c r="P360" s="397"/>
      <c r="Q360" s="397"/>
      <c r="R360" s="366"/>
      <c r="S360" s="366">
        <f t="shared" si="253"/>
        <v>0</v>
      </c>
    </row>
    <row r="361" spans="1:19">
      <c r="A361" s="206"/>
      <c r="B361" s="83"/>
      <c r="D361" s="13"/>
      <c r="E361" s="14"/>
      <c r="F361" s="148"/>
      <c r="G361" s="380"/>
      <c r="H361" s="405"/>
      <c r="I361" s="405"/>
      <c r="J361" s="405"/>
      <c r="K361" s="405"/>
      <c r="L361" s="405"/>
      <c r="M361" s="405"/>
      <c r="N361" s="405"/>
      <c r="O361" s="405"/>
      <c r="P361" s="405"/>
      <c r="Q361" s="405"/>
      <c r="R361" s="432"/>
      <c r="S361" s="366">
        <f t="shared" si="253"/>
        <v>0</v>
      </c>
    </row>
    <row r="362" spans="1:19">
      <c r="A362" s="207">
        <v>281</v>
      </c>
      <c r="B362" s="87" t="s">
        <v>290</v>
      </c>
      <c r="C362" s="51"/>
      <c r="D362" s="51"/>
      <c r="E362" s="49"/>
      <c r="F362" s="144"/>
      <c r="G362" s="384">
        <f t="shared" ref="G362:S362" si="261">SUM(G351:G361)</f>
        <v>0</v>
      </c>
      <c r="H362" s="408">
        <f t="shared" si="261"/>
        <v>0</v>
      </c>
      <c r="I362" s="408">
        <f t="shared" si="261"/>
        <v>0</v>
      </c>
      <c r="J362" s="408">
        <f t="shared" si="261"/>
        <v>0</v>
      </c>
      <c r="K362" s="408">
        <f t="shared" si="261"/>
        <v>0</v>
      </c>
      <c r="L362" s="408">
        <f t="shared" si="261"/>
        <v>0</v>
      </c>
      <c r="M362" s="408">
        <f t="shared" si="261"/>
        <v>0</v>
      </c>
      <c r="N362" s="408">
        <f t="shared" si="261"/>
        <v>0</v>
      </c>
      <c r="O362" s="408">
        <f t="shared" si="261"/>
        <v>0</v>
      </c>
      <c r="P362" s="408">
        <f t="shared" si="261"/>
        <v>0</v>
      </c>
      <c r="Q362" s="408">
        <f t="shared" si="261"/>
        <v>0</v>
      </c>
      <c r="R362" s="428">
        <f t="shared" si="261"/>
        <v>0</v>
      </c>
      <c r="S362" s="428">
        <f t="shared" si="261"/>
        <v>0</v>
      </c>
    </row>
    <row r="363" spans="1:19" ht="15" thickBot="1">
      <c r="A363" s="206"/>
      <c r="B363" s="80"/>
      <c r="C363" s="10"/>
      <c r="D363" s="10"/>
      <c r="E363" s="18"/>
      <c r="F363" s="140"/>
      <c r="G363" s="365"/>
      <c r="H363" s="397"/>
      <c r="I363" s="397"/>
      <c r="J363" s="397"/>
      <c r="K363" s="397"/>
      <c r="L363" s="397"/>
      <c r="M363" s="397"/>
      <c r="N363" s="397"/>
      <c r="O363" s="397"/>
      <c r="P363" s="397"/>
      <c r="Q363" s="397"/>
      <c r="R363" s="366"/>
      <c r="S363" s="366"/>
    </row>
    <row r="364" spans="1:19">
      <c r="A364" s="213"/>
      <c r="B364" s="115" t="s">
        <v>231</v>
      </c>
      <c r="C364" s="123"/>
      <c r="D364" s="123"/>
      <c r="E364" s="135"/>
      <c r="F364" s="156"/>
      <c r="G364" s="393"/>
      <c r="H364" s="414"/>
      <c r="I364" s="414"/>
      <c r="J364" s="414"/>
      <c r="K364" s="414"/>
      <c r="L364" s="414"/>
      <c r="M364" s="414"/>
      <c r="N364" s="414"/>
      <c r="O364" s="414"/>
      <c r="P364" s="414"/>
      <c r="Q364" s="414"/>
      <c r="R364" s="439"/>
      <c r="S364" s="439"/>
    </row>
    <row r="365" spans="1:19" ht="15" thickBot="1">
      <c r="A365" s="214">
        <v>282</v>
      </c>
      <c r="B365" s="131"/>
      <c r="C365" s="117"/>
      <c r="D365" s="117" t="s">
        <v>197</v>
      </c>
      <c r="E365" s="127"/>
      <c r="F365" s="157"/>
      <c r="G365" s="394">
        <f t="shared" ref="G365:S365" si="262">G347+G362</f>
        <v>0</v>
      </c>
      <c r="H365" s="415">
        <f t="shared" si="262"/>
        <v>0</v>
      </c>
      <c r="I365" s="415">
        <f t="shared" si="262"/>
        <v>22500</v>
      </c>
      <c r="J365" s="415">
        <f t="shared" si="262"/>
        <v>22500</v>
      </c>
      <c r="K365" s="415">
        <f t="shared" si="262"/>
        <v>22500</v>
      </c>
      <c r="L365" s="415">
        <f t="shared" si="262"/>
        <v>22500</v>
      </c>
      <c r="M365" s="415">
        <f t="shared" si="262"/>
        <v>22500</v>
      </c>
      <c r="N365" s="415">
        <f t="shared" si="262"/>
        <v>22500</v>
      </c>
      <c r="O365" s="415">
        <f t="shared" si="262"/>
        <v>22500</v>
      </c>
      <c r="P365" s="415">
        <f t="shared" si="262"/>
        <v>22500</v>
      </c>
      <c r="Q365" s="415">
        <f t="shared" si="262"/>
        <v>22500</v>
      </c>
      <c r="R365" s="440">
        <f t="shared" si="262"/>
        <v>22500</v>
      </c>
      <c r="S365" s="440">
        <f t="shared" si="262"/>
        <v>225000</v>
      </c>
    </row>
    <row r="366" spans="1:19" s="4" customFormat="1">
      <c r="A366" s="211"/>
      <c r="B366" s="132" t="s">
        <v>18</v>
      </c>
      <c r="C366" s="56"/>
      <c r="D366" s="56"/>
      <c r="E366" s="71"/>
      <c r="F366" s="138"/>
      <c r="G366" s="390"/>
      <c r="H366" s="399"/>
      <c r="I366" s="399"/>
      <c r="J366" s="399"/>
      <c r="K366" s="399"/>
      <c r="L366" s="399"/>
      <c r="M366" s="399"/>
      <c r="N366" s="399"/>
      <c r="O366" s="399"/>
      <c r="P366" s="399"/>
      <c r="Q366" s="399"/>
      <c r="R366" s="424"/>
      <c r="S366" s="424"/>
    </row>
    <row r="367" spans="1:19">
      <c r="A367" s="206">
        <v>283</v>
      </c>
      <c r="B367" s="36"/>
      <c r="C367" s="9" t="s">
        <v>199</v>
      </c>
      <c r="D367" s="9"/>
      <c r="E367" s="18" t="s">
        <v>200</v>
      </c>
      <c r="F367" s="140" t="s">
        <v>201</v>
      </c>
      <c r="G367" s="365">
        <f>'Yr 1 Operating Statement of Act'!G370/12</f>
        <v>0</v>
      </c>
      <c r="H367" s="397">
        <f t="shared" ref="H367:I371" si="263">G367</f>
        <v>0</v>
      </c>
      <c r="I367" s="397">
        <f t="shared" si="263"/>
        <v>0</v>
      </c>
      <c r="J367" s="397">
        <f t="shared" ref="J367:R367" si="264">I367</f>
        <v>0</v>
      </c>
      <c r="K367" s="397">
        <f t="shared" si="264"/>
        <v>0</v>
      </c>
      <c r="L367" s="397">
        <f t="shared" si="264"/>
        <v>0</v>
      </c>
      <c r="M367" s="397">
        <f t="shared" si="264"/>
        <v>0</v>
      </c>
      <c r="N367" s="397">
        <f t="shared" si="264"/>
        <v>0</v>
      </c>
      <c r="O367" s="397">
        <f t="shared" si="264"/>
        <v>0</v>
      </c>
      <c r="P367" s="397">
        <f t="shared" si="264"/>
        <v>0</v>
      </c>
      <c r="Q367" s="397">
        <f t="shared" si="264"/>
        <v>0</v>
      </c>
      <c r="R367" s="397">
        <f t="shared" si="264"/>
        <v>0</v>
      </c>
      <c r="S367" s="366">
        <f t="shared" ref="S367:S374" si="265">SUM(G367:R367)</f>
        <v>0</v>
      </c>
    </row>
    <row r="368" spans="1:19">
      <c r="A368" s="206">
        <v>284</v>
      </c>
      <c r="B368" s="36"/>
      <c r="C368" s="9" t="s">
        <v>202</v>
      </c>
      <c r="D368" s="9"/>
      <c r="E368" s="18" t="s">
        <v>203</v>
      </c>
      <c r="F368" s="140" t="s">
        <v>198</v>
      </c>
      <c r="G368" s="365">
        <f>'Yr 1 Operating Statement of Act'!G371/12</f>
        <v>0</v>
      </c>
      <c r="H368" s="397">
        <f t="shared" si="263"/>
        <v>0</v>
      </c>
      <c r="I368" s="397">
        <f t="shared" si="263"/>
        <v>0</v>
      </c>
      <c r="J368" s="397">
        <f t="shared" ref="J368:R368" si="266">I368</f>
        <v>0</v>
      </c>
      <c r="K368" s="397">
        <f t="shared" si="266"/>
        <v>0</v>
      </c>
      <c r="L368" s="397">
        <f t="shared" si="266"/>
        <v>0</v>
      </c>
      <c r="M368" s="397">
        <f t="shared" si="266"/>
        <v>0</v>
      </c>
      <c r="N368" s="397">
        <f t="shared" si="266"/>
        <v>0</v>
      </c>
      <c r="O368" s="397">
        <f t="shared" si="266"/>
        <v>0</v>
      </c>
      <c r="P368" s="397">
        <f t="shared" si="266"/>
        <v>0</v>
      </c>
      <c r="Q368" s="397">
        <f t="shared" si="266"/>
        <v>0</v>
      </c>
      <c r="R368" s="397">
        <f t="shared" si="266"/>
        <v>0</v>
      </c>
      <c r="S368" s="366">
        <f t="shared" si="265"/>
        <v>0</v>
      </c>
    </row>
    <row r="369" spans="1:19">
      <c r="A369" s="206">
        <v>285</v>
      </c>
      <c r="B369" s="36"/>
      <c r="C369" s="9" t="s">
        <v>204</v>
      </c>
      <c r="D369" s="9"/>
      <c r="E369" s="18" t="s">
        <v>203</v>
      </c>
      <c r="F369" s="140" t="s">
        <v>205</v>
      </c>
      <c r="G369" s="365">
        <f>'Yr 1 Operating Statement of Act'!G372/12</f>
        <v>0</v>
      </c>
      <c r="H369" s="397">
        <f t="shared" si="263"/>
        <v>0</v>
      </c>
      <c r="I369" s="397">
        <f t="shared" si="263"/>
        <v>0</v>
      </c>
      <c r="J369" s="397">
        <f t="shared" ref="J369:R369" si="267">I369</f>
        <v>0</v>
      </c>
      <c r="K369" s="397">
        <f t="shared" si="267"/>
        <v>0</v>
      </c>
      <c r="L369" s="397">
        <f t="shared" si="267"/>
        <v>0</v>
      </c>
      <c r="M369" s="397">
        <f t="shared" si="267"/>
        <v>0</v>
      </c>
      <c r="N369" s="397">
        <f t="shared" si="267"/>
        <v>0</v>
      </c>
      <c r="O369" s="397">
        <f t="shared" si="267"/>
        <v>0</v>
      </c>
      <c r="P369" s="397">
        <f t="shared" si="267"/>
        <v>0</v>
      </c>
      <c r="Q369" s="397">
        <f t="shared" si="267"/>
        <v>0</v>
      </c>
      <c r="R369" s="397">
        <f t="shared" si="267"/>
        <v>0</v>
      </c>
      <c r="S369" s="366">
        <f t="shared" si="265"/>
        <v>0</v>
      </c>
    </row>
    <row r="370" spans="1:19">
      <c r="A370" s="206">
        <v>286</v>
      </c>
      <c r="B370" s="36"/>
      <c r="C370" s="9" t="s">
        <v>93</v>
      </c>
      <c r="D370" s="9"/>
      <c r="E370" s="18" t="s">
        <v>94</v>
      </c>
      <c r="F370" s="140" t="s">
        <v>198</v>
      </c>
      <c r="G370" s="365">
        <f>'Yr 1 Operating Statement of Act'!G373/12</f>
        <v>0</v>
      </c>
      <c r="H370" s="397">
        <f t="shared" si="263"/>
        <v>0</v>
      </c>
      <c r="I370" s="397">
        <f t="shared" si="263"/>
        <v>0</v>
      </c>
      <c r="J370" s="397">
        <f t="shared" ref="J370:R370" si="268">I370</f>
        <v>0</v>
      </c>
      <c r="K370" s="397">
        <f t="shared" si="268"/>
        <v>0</v>
      </c>
      <c r="L370" s="397">
        <f t="shared" si="268"/>
        <v>0</v>
      </c>
      <c r="M370" s="397">
        <f t="shared" si="268"/>
        <v>0</v>
      </c>
      <c r="N370" s="397">
        <f t="shared" si="268"/>
        <v>0</v>
      </c>
      <c r="O370" s="397">
        <f t="shared" si="268"/>
        <v>0</v>
      </c>
      <c r="P370" s="397">
        <f t="shared" si="268"/>
        <v>0</v>
      </c>
      <c r="Q370" s="397">
        <f t="shared" si="268"/>
        <v>0</v>
      </c>
      <c r="R370" s="397">
        <f t="shared" si="268"/>
        <v>0</v>
      </c>
      <c r="S370" s="366">
        <f t="shared" si="265"/>
        <v>0</v>
      </c>
    </row>
    <row r="371" spans="1:19">
      <c r="A371" s="206">
        <v>287</v>
      </c>
      <c r="B371" s="36"/>
      <c r="C371" s="9" t="s">
        <v>85</v>
      </c>
      <c r="D371" s="9"/>
      <c r="E371" s="18" t="s">
        <v>86</v>
      </c>
      <c r="F371" s="140" t="s">
        <v>206</v>
      </c>
      <c r="G371" s="365">
        <f>'Yr 1 Operating Statement of Act'!G374/12</f>
        <v>0</v>
      </c>
      <c r="H371" s="397">
        <f t="shared" si="263"/>
        <v>0</v>
      </c>
      <c r="I371" s="397">
        <f t="shared" si="263"/>
        <v>0</v>
      </c>
      <c r="J371" s="397">
        <f t="shared" ref="J371:R371" si="269">I371</f>
        <v>0</v>
      </c>
      <c r="K371" s="397">
        <f t="shared" si="269"/>
        <v>0</v>
      </c>
      <c r="L371" s="397">
        <f t="shared" si="269"/>
        <v>0</v>
      </c>
      <c r="M371" s="397">
        <f t="shared" si="269"/>
        <v>0</v>
      </c>
      <c r="N371" s="397">
        <f t="shared" si="269"/>
        <v>0</v>
      </c>
      <c r="O371" s="397">
        <f t="shared" si="269"/>
        <v>0</v>
      </c>
      <c r="P371" s="397">
        <f t="shared" si="269"/>
        <v>0</v>
      </c>
      <c r="Q371" s="397">
        <f t="shared" si="269"/>
        <v>0</v>
      </c>
      <c r="R371" s="397">
        <f t="shared" si="269"/>
        <v>0</v>
      </c>
      <c r="S371" s="366">
        <f t="shared" si="265"/>
        <v>0</v>
      </c>
    </row>
    <row r="372" spans="1:19">
      <c r="A372" s="206">
        <v>288</v>
      </c>
      <c r="B372" s="36"/>
      <c r="C372" s="85" t="s">
        <v>283</v>
      </c>
      <c r="D372" s="9"/>
      <c r="E372" s="18"/>
      <c r="F372" s="140"/>
      <c r="G372" s="365"/>
      <c r="H372" s="397"/>
      <c r="I372" s="397"/>
      <c r="J372" s="397"/>
      <c r="K372" s="397"/>
      <c r="L372" s="397"/>
      <c r="M372" s="397"/>
      <c r="N372" s="397"/>
      <c r="O372" s="397"/>
      <c r="P372" s="397"/>
      <c r="Q372" s="397"/>
      <c r="R372" s="366"/>
      <c r="S372" s="366">
        <f t="shared" si="265"/>
        <v>0</v>
      </c>
    </row>
    <row r="373" spans="1:19">
      <c r="A373" s="206">
        <v>289</v>
      </c>
      <c r="B373" s="36"/>
      <c r="C373" s="85"/>
      <c r="D373" s="9"/>
      <c r="E373" s="18"/>
      <c r="F373" s="140"/>
      <c r="G373" s="365"/>
      <c r="H373" s="397"/>
      <c r="I373" s="397"/>
      <c r="J373" s="397"/>
      <c r="K373" s="397"/>
      <c r="L373" s="397"/>
      <c r="M373" s="397"/>
      <c r="N373" s="397"/>
      <c r="O373" s="397"/>
      <c r="P373" s="397"/>
      <c r="Q373" s="397"/>
      <c r="R373" s="366"/>
      <c r="S373" s="366">
        <f t="shared" si="265"/>
        <v>0</v>
      </c>
    </row>
    <row r="374" spans="1:19" ht="15" thickBot="1">
      <c r="A374" s="206">
        <v>290</v>
      </c>
      <c r="B374" s="83"/>
      <c r="D374" s="13"/>
      <c r="E374" s="14"/>
      <c r="F374" s="148"/>
      <c r="G374" s="380"/>
      <c r="H374" s="405"/>
      <c r="I374" s="405"/>
      <c r="J374" s="405"/>
      <c r="K374" s="405"/>
      <c r="L374" s="405"/>
      <c r="M374" s="405"/>
      <c r="N374" s="405"/>
      <c r="O374" s="405"/>
      <c r="P374" s="405"/>
      <c r="Q374" s="405"/>
      <c r="R374" s="432"/>
      <c r="S374" s="366">
        <f t="shared" si="265"/>
        <v>0</v>
      </c>
    </row>
    <row r="375" spans="1:19">
      <c r="A375" s="213"/>
      <c r="B375" s="115" t="s">
        <v>207</v>
      </c>
      <c r="C375" s="123"/>
      <c r="D375" s="123"/>
      <c r="E375" s="135"/>
      <c r="F375" s="156"/>
      <c r="G375" s="393"/>
      <c r="H375" s="414"/>
      <c r="I375" s="414"/>
      <c r="J375" s="414"/>
      <c r="K375" s="414"/>
      <c r="L375" s="414"/>
      <c r="M375" s="414"/>
      <c r="N375" s="414"/>
      <c r="O375" s="414"/>
      <c r="P375" s="414"/>
      <c r="Q375" s="414"/>
      <c r="R375" s="439"/>
      <c r="S375" s="439"/>
    </row>
    <row r="376" spans="1:19" ht="15" thickBot="1">
      <c r="A376" s="214">
        <v>291</v>
      </c>
      <c r="B376" s="124"/>
      <c r="C376" s="125"/>
      <c r="D376" s="117" t="s">
        <v>2</v>
      </c>
      <c r="E376" s="127"/>
      <c r="F376" s="157"/>
      <c r="G376" s="394">
        <f t="shared" ref="G376:S376" si="270">SUM(G367:G374)</f>
        <v>0</v>
      </c>
      <c r="H376" s="415">
        <f t="shared" si="270"/>
        <v>0</v>
      </c>
      <c r="I376" s="415">
        <f t="shared" si="270"/>
        <v>0</v>
      </c>
      <c r="J376" s="415">
        <f t="shared" si="270"/>
        <v>0</v>
      </c>
      <c r="K376" s="415">
        <f t="shared" si="270"/>
        <v>0</v>
      </c>
      <c r="L376" s="415">
        <f t="shared" si="270"/>
        <v>0</v>
      </c>
      <c r="M376" s="415">
        <f t="shared" si="270"/>
        <v>0</v>
      </c>
      <c r="N376" s="415">
        <f t="shared" si="270"/>
        <v>0</v>
      </c>
      <c r="O376" s="415">
        <f t="shared" si="270"/>
        <v>0</v>
      </c>
      <c r="P376" s="415">
        <f t="shared" si="270"/>
        <v>0</v>
      </c>
      <c r="Q376" s="415">
        <f t="shared" si="270"/>
        <v>0</v>
      </c>
      <c r="R376" s="440">
        <f t="shared" si="270"/>
        <v>0</v>
      </c>
      <c r="S376" s="440">
        <f t="shared" si="270"/>
        <v>0</v>
      </c>
    </row>
    <row r="377" spans="1:19">
      <c r="A377" s="211"/>
      <c r="B377" s="35"/>
      <c r="C377" s="12"/>
      <c r="D377" s="12"/>
      <c r="E377" s="16"/>
      <c r="F377" s="152"/>
      <c r="G377" s="388"/>
      <c r="H377" s="411"/>
      <c r="I377" s="411"/>
      <c r="J377" s="411"/>
      <c r="K377" s="411"/>
      <c r="L377" s="411"/>
      <c r="M377" s="411"/>
      <c r="N377" s="411"/>
      <c r="O377" s="411"/>
      <c r="P377" s="411"/>
      <c r="Q377" s="411"/>
      <c r="R377" s="436"/>
      <c r="S377" s="436"/>
    </row>
    <row r="378" spans="1:19" s="4" customFormat="1">
      <c r="A378" s="206"/>
      <c r="B378" s="52" t="s">
        <v>286</v>
      </c>
      <c r="C378" s="53"/>
      <c r="D378" s="53"/>
      <c r="E378" s="61"/>
      <c r="F378" s="139"/>
      <c r="G378" s="383"/>
      <c r="H378" s="400"/>
      <c r="I378" s="400"/>
      <c r="J378" s="400"/>
      <c r="K378" s="400"/>
      <c r="L378" s="400"/>
      <c r="M378" s="400"/>
      <c r="N378" s="400"/>
      <c r="O378" s="400"/>
      <c r="P378" s="400"/>
      <c r="Q378" s="400"/>
      <c r="R378" s="425"/>
      <c r="S378" s="425"/>
    </row>
    <row r="379" spans="1:19">
      <c r="A379" s="206"/>
      <c r="B379" s="36"/>
      <c r="C379" s="9" t="s">
        <v>31</v>
      </c>
      <c r="D379" s="9"/>
      <c r="E379" s="61"/>
      <c r="F379" s="139"/>
      <c r="G379" s="383"/>
      <c r="H379" s="400"/>
      <c r="I379" s="400"/>
      <c r="J379" s="400"/>
      <c r="K379" s="400"/>
      <c r="L379" s="400"/>
      <c r="M379" s="400"/>
      <c r="N379" s="400"/>
      <c r="O379" s="400"/>
      <c r="P379" s="400"/>
      <c r="Q379" s="400"/>
      <c r="R379" s="425"/>
      <c r="S379" s="425"/>
    </row>
    <row r="380" spans="1:19">
      <c r="A380" s="206">
        <v>292</v>
      </c>
      <c r="B380" s="36"/>
      <c r="C380" s="9"/>
      <c r="D380" s="9" t="s">
        <v>209</v>
      </c>
      <c r="E380" s="18" t="s">
        <v>149</v>
      </c>
      <c r="F380" s="140" t="s">
        <v>208</v>
      </c>
      <c r="G380" s="365">
        <f>'Yr 1 Operating Statement of Act'!G383/12</f>
        <v>0</v>
      </c>
      <c r="H380" s="397">
        <f t="shared" ref="H380:I383" si="271">G380</f>
        <v>0</v>
      </c>
      <c r="I380" s="397">
        <f t="shared" si="271"/>
        <v>0</v>
      </c>
      <c r="J380" s="397">
        <f t="shared" ref="J380:R380" si="272">I380</f>
        <v>0</v>
      </c>
      <c r="K380" s="397">
        <f t="shared" si="272"/>
        <v>0</v>
      </c>
      <c r="L380" s="397">
        <f t="shared" si="272"/>
        <v>0</v>
      </c>
      <c r="M380" s="397">
        <f t="shared" si="272"/>
        <v>0</v>
      </c>
      <c r="N380" s="397">
        <f t="shared" si="272"/>
        <v>0</v>
      </c>
      <c r="O380" s="397">
        <f t="shared" si="272"/>
        <v>0</v>
      </c>
      <c r="P380" s="397">
        <f t="shared" si="272"/>
        <v>0</v>
      </c>
      <c r="Q380" s="397">
        <f t="shared" si="272"/>
        <v>0</v>
      </c>
      <c r="R380" s="397">
        <f t="shared" si="272"/>
        <v>0</v>
      </c>
      <c r="S380" s="366">
        <f t="shared" ref="S380:S386" si="273">SUM(G380:R380)</f>
        <v>0</v>
      </c>
    </row>
    <row r="381" spans="1:19">
      <c r="A381" s="206">
        <v>293</v>
      </c>
      <c r="B381" s="36"/>
      <c r="C381" s="9"/>
      <c r="D381" s="9" t="s">
        <v>210</v>
      </c>
      <c r="E381" s="18" t="s">
        <v>152</v>
      </c>
      <c r="F381" s="140" t="s">
        <v>208</v>
      </c>
      <c r="G381" s="365">
        <f>'Yr 1 Operating Statement of Act'!G384/12</f>
        <v>0</v>
      </c>
      <c r="H381" s="397">
        <f t="shared" si="271"/>
        <v>0</v>
      </c>
      <c r="I381" s="397">
        <f t="shared" si="271"/>
        <v>0</v>
      </c>
      <c r="J381" s="397">
        <f t="shared" ref="J381:R381" si="274">I381</f>
        <v>0</v>
      </c>
      <c r="K381" s="397">
        <f t="shared" si="274"/>
        <v>0</v>
      </c>
      <c r="L381" s="397">
        <f t="shared" si="274"/>
        <v>0</v>
      </c>
      <c r="M381" s="397">
        <f t="shared" si="274"/>
        <v>0</v>
      </c>
      <c r="N381" s="397">
        <f t="shared" si="274"/>
        <v>0</v>
      </c>
      <c r="O381" s="397">
        <f t="shared" si="274"/>
        <v>0</v>
      </c>
      <c r="P381" s="397">
        <f t="shared" si="274"/>
        <v>0</v>
      </c>
      <c r="Q381" s="397">
        <f t="shared" si="274"/>
        <v>0</v>
      </c>
      <c r="R381" s="397">
        <f t="shared" si="274"/>
        <v>0</v>
      </c>
      <c r="S381" s="366">
        <f t="shared" si="273"/>
        <v>0</v>
      </c>
    </row>
    <row r="382" spans="1:19">
      <c r="A382" s="206">
        <v>294</v>
      </c>
      <c r="B382" s="36"/>
      <c r="C382" s="9"/>
      <c r="D382" s="9" t="s">
        <v>211</v>
      </c>
      <c r="E382" s="18" t="s">
        <v>212</v>
      </c>
      <c r="F382" s="140" t="s">
        <v>208</v>
      </c>
      <c r="G382" s="365">
        <f>'Yr 1 Operating Statement of Act'!G385/12</f>
        <v>0</v>
      </c>
      <c r="H382" s="397">
        <f t="shared" si="271"/>
        <v>0</v>
      </c>
      <c r="I382" s="397">
        <f t="shared" si="271"/>
        <v>0</v>
      </c>
      <c r="J382" s="397">
        <f t="shared" ref="J382:R382" si="275">I382</f>
        <v>0</v>
      </c>
      <c r="K382" s="397">
        <f t="shared" si="275"/>
        <v>0</v>
      </c>
      <c r="L382" s="397">
        <f t="shared" si="275"/>
        <v>0</v>
      </c>
      <c r="M382" s="397">
        <f t="shared" si="275"/>
        <v>0</v>
      </c>
      <c r="N382" s="397">
        <f t="shared" si="275"/>
        <v>0</v>
      </c>
      <c r="O382" s="397">
        <f t="shared" si="275"/>
        <v>0</v>
      </c>
      <c r="P382" s="397">
        <f t="shared" si="275"/>
        <v>0</v>
      </c>
      <c r="Q382" s="397">
        <f t="shared" si="275"/>
        <v>0</v>
      </c>
      <c r="R382" s="397">
        <f t="shared" si="275"/>
        <v>0</v>
      </c>
      <c r="S382" s="366">
        <f t="shared" si="273"/>
        <v>0</v>
      </c>
    </row>
    <row r="383" spans="1:19">
      <c r="A383" s="206">
        <v>295</v>
      </c>
      <c r="B383" s="36"/>
      <c r="C383" s="9"/>
      <c r="D383" s="9" t="s">
        <v>95</v>
      </c>
      <c r="E383" s="18" t="s">
        <v>96</v>
      </c>
      <c r="F383" s="140" t="s">
        <v>208</v>
      </c>
      <c r="G383" s="365">
        <f>'Yr 1 Operating Statement of Act'!G386/12</f>
        <v>0</v>
      </c>
      <c r="H383" s="397">
        <f t="shared" si="271"/>
        <v>0</v>
      </c>
      <c r="I383" s="397">
        <f t="shared" si="271"/>
        <v>0</v>
      </c>
      <c r="J383" s="397">
        <f t="shared" ref="J383:R383" si="276">I383</f>
        <v>0</v>
      </c>
      <c r="K383" s="397">
        <f t="shared" si="276"/>
        <v>0</v>
      </c>
      <c r="L383" s="397">
        <f t="shared" si="276"/>
        <v>0</v>
      </c>
      <c r="M383" s="397">
        <f t="shared" si="276"/>
        <v>0</v>
      </c>
      <c r="N383" s="397">
        <f t="shared" si="276"/>
        <v>0</v>
      </c>
      <c r="O383" s="397">
        <f t="shared" si="276"/>
        <v>0</v>
      </c>
      <c r="P383" s="397">
        <f t="shared" si="276"/>
        <v>0</v>
      </c>
      <c r="Q383" s="397">
        <f t="shared" si="276"/>
        <v>0</v>
      </c>
      <c r="R383" s="397">
        <f t="shared" si="276"/>
        <v>0</v>
      </c>
      <c r="S383" s="366">
        <f t="shared" si="273"/>
        <v>0</v>
      </c>
    </row>
    <row r="384" spans="1:19">
      <c r="A384" s="206">
        <v>296</v>
      </c>
      <c r="B384" s="36"/>
      <c r="C384" s="85" t="s">
        <v>283</v>
      </c>
      <c r="D384" s="9"/>
      <c r="E384" s="18"/>
      <c r="F384" s="140"/>
      <c r="G384" s="365"/>
      <c r="H384" s="397"/>
      <c r="I384" s="397"/>
      <c r="J384" s="397"/>
      <c r="K384" s="397"/>
      <c r="L384" s="397"/>
      <c r="M384" s="397"/>
      <c r="N384" s="397"/>
      <c r="O384" s="397"/>
      <c r="P384" s="397"/>
      <c r="Q384" s="397"/>
      <c r="R384" s="366"/>
      <c r="S384" s="366">
        <f t="shared" si="273"/>
        <v>0</v>
      </c>
    </row>
    <row r="385" spans="1:19">
      <c r="A385" s="206">
        <v>297</v>
      </c>
      <c r="B385" s="36"/>
      <c r="C385" s="85"/>
      <c r="D385" s="9"/>
      <c r="E385" s="18"/>
      <c r="F385" s="140"/>
      <c r="G385" s="365"/>
      <c r="H385" s="397"/>
      <c r="I385" s="397"/>
      <c r="J385" s="397"/>
      <c r="K385" s="397"/>
      <c r="L385" s="397"/>
      <c r="M385" s="397"/>
      <c r="N385" s="397"/>
      <c r="O385" s="397"/>
      <c r="P385" s="397"/>
      <c r="Q385" s="397"/>
      <c r="R385" s="366"/>
      <c r="S385" s="366">
        <f t="shared" si="273"/>
        <v>0</v>
      </c>
    </row>
    <row r="386" spans="1:19" ht="15" thickBot="1">
      <c r="A386" s="206">
        <v>298</v>
      </c>
      <c r="B386" s="83"/>
      <c r="D386" s="13"/>
      <c r="E386" s="14"/>
      <c r="F386" s="148"/>
      <c r="G386" s="380"/>
      <c r="H386" s="405"/>
      <c r="I386" s="405"/>
      <c r="J386" s="405"/>
      <c r="K386" s="405"/>
      <c r="L386" s="405"/>
      <c r="M386" s="405"/>
      <c r="N386" s="405"/>
      <c r="O386" s="405"/>
      <c r="P386" s="405"/>
      <c r="Q386" s="405"/>
      <c r="R386" s="432"/>
      <c r="S386" s="366">
        <f t="shared" si="273"/>
        <v>0</v>
      </c>
    </row>
    <row r="387" spans="1:19" ht="15" thickBot="1">
      <c r="A387" s="210">
        <v>299</v>
      </c>
      <c r="B387" s="75" t="s">
        <v>287</v>
      </c>
      <c r="C387" s="76"/>
      <c r="D387" s="76"/>
      <c r="E387" s="45"/>
      <c r="F387" s="147"/>
      <c r="G387" s="387">
        <f t="shared" ref="G387:S387" si="277">SUM(G380:G386)</f>
        <v>0</v>
      </c>
      <c r="H387" s="410">
        <f t="shared" si="277"/>
        <v>0</v>
      </c>
      <c r="I387" s="410">
        <f t="shared" si="277"/>
        <v>0</v>
      </c>
      <c r="J387" s="410">
        <f t="shared" si="277"/>
        <v>0</v>
      </c>
      <c r="K387" s="410">
        <f t="shared" si="277"/>
        <v>0</v>
      </c>
      <c r="L387" s="410">
        <f t="shared" si="277"/>
        <v>0</v>
      </c>
      <c r="M387" s="410">
        <f t="shared" si="277"/>
        <v>0</v>
      </c>
      <c r="N387" s="410">
        <f t="shared" si="277"/>
        <v>0</v>
      </c>
      <c r="O387" s="410">
        <f t="shared" si="277"/>
        <v>0</v>
      </c>
      <c r="P387" s="410">
        <f t="shared" si="277"/>
        <v>0</v>
      </c>
      <c r="Q387" s="410">
        <f t="shared" si="277"/>
        <v>0</v>
      </c>
      <c r="R387" s="431">
        <f t="shared" si="277"/>
        <v>0</v>
      </c>
      <c r="S387" s="431">
        <f t="shared" si="277"/>
        <v>0</v>
      </c>
    </row>
    <row r="388" spans="1:19" ht="15" thickBot="1">
      <c r="A388" s="206"/>
      <c r="B388" s="36"/>
      <c r="C388" s="9"/>
      <c r="D388" s="9"/>
      <c r="E388" s="18"/>
      <c r="F388" s="140"/>
      <c r="G388" s="365"/>
      <c r="H388" s="397"/>
      <c r="I388" s="397"/>
      <c r="J388" s="397"/>
      <c r="K388" s="397"/>
      <c r="L388" s="397"/>
      <c r="M388" s="397"/>
      <c r="N388" s="397"/>
      <c r="O388" s="397"/>
      <c r="P388" s="397"/>
      <c r="Q388" s="397"/>
      <c r="R388" s="366"/>
      <c r="S388" s="366"/>
    </row>
    <row r="389" spans="1:19" ht="15" thickBot="1">
      <c r="A389" s="210">
        <v>300</v>
      </c>
      <c r="B389" s="75" t="s">
        <v>213</v>
      </c>
      <c r="C389" s="76"/>
      <c r="D389" s="76"/>
      <c r="E389" s="45"/>
      <c r="F389" s="147"/>
      <c r="G389" s="387">
        <f t="shared" ref="G389:S389" si="278">G152+G324+G365+G376+G387</f>
        <v>187934.18978333334</v>
      </c>
      <c r="H389" s="410">
        <f t="shared" si="278"/>
        <v>270133.25038939394</v>
      </c>
      <c r="I389" s="410">
        <f t="shared" si="278"/>
        <v>311724.15948030306</v>
      </c>
      <c r="J389" s="410">
        <f t="shared" si="278"/>
        <v>311724.15948030306</v>
      </c>
      <c r="K389" s="410">
        <f t="shared" si="278"/>
        <v>311724.15948030306</v>
      </c>
      <c r="L389" s="410">
        <f t="shared" si="278"/>
        <v>311724.15948030306</v>
      </c>
      <c r="M389" s="410">
        <f t="shared" si="278"/>
        <v>311724.15948030306</v>
      </c>
      <c r="N389" s="410">
        <f t="shared" si="278"/>
        <v>311724.15948030306</v>
      </c>
      <c r="O389" s="410">
        <f t="shared" si="278"/>
        <v>311724.15948030306</v>
      </c>
      <c r="P389" s="410">
        <f t="shared" si="278"/>
        <v>311724.15948030306</v>
      </c>
      <c r="Q389" s="410">
        <f t="shared" si="278"/>
        <v>311724.15948030306</v>
      </c>
      <c r="R389" s="431">
        <f t="shared" si="278"/>
        <v>311724.15948030306</v>
      </c>
      <c r="S389" s="431">
        <f t="shared" si="278"/>
        <v>3575309.0349757578</v>
      </c>
    </row>
    <row r="390" spans="1:19">
      <c r="A390" s="206"/>
      <c r="B390" s="36"/>
      <c r="C390" s="9"/>
      <c r="D390" s="9"/>
      <c r="E390" s="18"/>
      <c r="F390" s="140"/>
      <c r="G390" s="365"/>
      <c r="H390" s="397"/>
      <c r="I390" s="397"/>
      <c r="J390" s="397"/>
      <c r="K390" s="397"/>
      <c r="L390" s="397"/>
      <c r="M390" s="397"/>
      <c r="N390" s="397"/>
      <c r="O390" s="397"/>
      <c r="P390" s="397"/>
      <c r="Q390" s="397"/>
      <c r="R390" s="366"/>
      <c r="S390" s="366"/>
    </row>
    <row r="391" spans="1:19" s="4" customFormat="1">
      <c r="A391" s="206"/>
      <c r="B391" s="86" t="s">
        <v>291</v>
      </c>
      <c r="C391" s="11"/>
      <c r="D391" s="11"/>
      <c r="E391" s="77"/>
      <c r="F391" s="151"/>
      <c r="G391" s="386"/>
      <c r="H391" s="409"/>
      <c r="I391" s="409"/>
      <c r="J391" s="409"/>
      <c r="K391" s="409"/>
      <c r="L391" s="409"/>
      <c r="M391" s="409"/>
      <c r="N391" s="409"/>
      <c r="O391" s="409"/>
      <c r="P391" s="409"/>
      <c r="Q391" s="409"/>
      <c r="R391" s="435"/>
      <c r="S391" s="435"/>
    </row>
    <row r="392" spans="1:19">
      <c r="A392" s="206">
        <v>301</v>
      </c>
      <c r="B392" s="36" t="s">
        <v>4</v>
      </c>
      <c r="C392" s="9"/>
      <c r="D392" s="9"/>
      <c r="E392" s="18" t="s">
        <v>221</v>
      </c>
      <c r="F392" s="140" t="s">
        <v>253</v>
      </c>
      <c r="G392" s="365">
        <f>'Yr 1 Operating Statement of Act'!G395/12</f>
        <v>0</v>
      </c>
      <c r="H392" s="397">
        <f>G392</f>
        <v>0</v>
      </c>
      <c r="I392" s="397">
        <f t="shared" ref="I392:R392" si="279">H392</f>
        <v>0</v>
      </c>
      <c r="J392" s="397">
        <f t="shared" si="279"/>
        <v>0</v>
      </c>
      <c r="K392" s="397">
        <f t="shared" si="279"/>
        <v>0</v>
      </c>
      <c r="L392" s="397">
        <f t="shared" si="279"/>
        <v>0</v>
      </c>
      <c r="M392" s="397">
        <f t="shared" si="279"/>
        <v>0</v>
      </c>
      <c r="N392" s="397">
        <f t="shared" si="279"/>
        <v>0</v>
      </c>
      <c r="O392" s="397">
        <f t="shared" si="279"/>
        <v>0</v>
      </c>
      <c r="P392" s="397">
        <f t="shared" si="279"/>
        <v>0</v>
      </c>
      <c r="Q392" s="397">
        <f t="shared" si="279"/>
        <v>0</v>
      </c>
      <c r="R392" s="397">
        <f t="shared" si="279"/>
        <v>0</v>
      </c>
      <c r="S392" s="366">
        <f>SUM(G392:R392)</f>
        <v>0</v>
      </c>
    </row>
    <row r="393" spans="1:19" ht="15" thickBot="1">
      <c r="A393" s="206">
        <v>302</v>
      </c>
      <c r="B393" s="36"/>
      <c r="C393" s="9"/>
      <c r="D393" s="9"/>
      <c r="E393" s="18"/>
      <c r="F393" s="140"/>
      <c r="G393" s="365"/>
      <c r="H393" s="397"/>
      <c r="I393" s="397"/>
      <c r="J393" s="397"/>
      <c r="K393" s="397"/>
      <c r="L393" s="397"/>
      <c r="M393" s="397"/>
      <c r="N393" s="397"/>
      <c r="O393" s="397"/>
      <c r="P393" s="397"/>
      <c r="Q393" s="397"/>
      <c r="R393" s="366"/>
      <c r="S393" s="366">
        <f>SUM(G393:R393)</f>
        <v>0</v>
      </c>
    </row>
    <row r="394" spans="1:19" ht="15" thickBot="1">
      <c r="A394" s="210">
        <v>303</v>
      </c>
      <c r="B394" s="75" t="s">
        <v>214</v>
      </c>
      <c r="C394" s="76"/>
      <c r="D394" s="76"/>
      <c r="E394" s="45"/>
      <c r="F394" s="147"/>
      <c r="G394" s="387">
        <f t="shared" ref="G394:S394" si="280">SUM(G392:G393)</f>
        <v>0</v>
      </c>
      <c r="H394" s="410">
        <f t="shared" si="280"/>
        <v>0</v>
      </c>
      <c r="I394" s="410">
        <f t="shared" si="280"/>
        <v>0</v>
      </c>
      <c r="J394" s="410">
        <f t="shared" si="280"/>
        <v>0</v>
      </c>
      <c r="K394" s="410">
        <f t="shared" si="280"/>
        <v>0</v>
      </c>
      <c r="L394" s="410">
        <f t="shared" si="280"/>
        <v>0</v>
      </c>
      <c r="M394" s="410">
        <f t="shared" si="280"/>
        <v>0</v>
      </c>
      <c r="N394" s="410">
        <f t="shared" si="280"/>
        <v>0</v>
      </c>
      <c r="O394" s="410">
        <f t="shared" si="280"/>
        <v>0</v>
      </c>
      <c r="P394" s="410">
        <f t="shared" si="280"/>
        <v>0</v>
      </c>
      <c r="Q394" s="410">
        <f t="shared" si="280"/>
        <v>0</v>
      </c>
      <c r="R394" s="431">
        <f t="shared" si="280"/>
        <v>0</v>
      </c>
      <c r="S394" s="431">
        <f t="shared" si="280"/>
        <v>0</v>
      </c>
    </row>
    <row r="395" spans="1:19" ht="15" thickBot="1">
      <c r="A395" s="206"/>
      <c r="B395" s="36"/>
      <c r="C395" s="9"/>
      <c r="D395" s="9"/>
      <c r="E395" s="18"/>
      <c r="F395" s="140"/>
      <c r="G395" s="365"/>
      <c r="H395" s="397"/>
      <c r="I395" s="397"/>
      <c r="J395" s="397"/>
      <c r="K395" s="397"/>
      <c r="L395" s="397"/>
      <c r="M395" s="397"/>
      <c r="N395" s="397"/>
      <c r="O395" s="397"/>
      <c r="P395" s="397"/>
      <c r="Q395" s="397"/>
      <c r="R395" s="366"/>
      <c r="S395" s="366"/>
    </row>
    <row r="396" spans="1:19" s="4" customFormat="1" ht="15" thickBot="1">
      <c r="A396" s="216" t="s">
        <v>215</v>
      </c>
      <c r="B396" s="75"/>
      <c r="C396" s="76"/>
      <c r="D396" s="76"/>
      <c r="E396" s="119"/>
      <c r="F396" s="158"/>
      <c r="G396" s="395"/>
      <c r="H396" s="416"/>
      <c r="I396" s="416"/>
      <c r="J396" s="416"/>
      <c r="K396" s="416"/>
      <c r="L396" s="416"/>
      <c r="M396" s="416"/>
      <c r="N396" s="416"/>
      <c r="O396" s="416"/>
      <c r="P396" s="416"/>
      <c r="Q396" s="416"/>
      <c r="R396" s="441"/>
      <c r="S396" s="441"/>
    </row>
    <row r="397" spans="1:19">
      <c r="A397" s="213"/>
      <c r="B397" s="130"/>
      <c r="C397" s="129" t="s">
        <v>254</v>
      </c>
      <c r="D397" s="118"/>
      <c r="E397" s="135"/>
      <c r="F397" s="156"/>
      <c r="G397" s="393"/>
      <c r="H397" s="414"/>
      <c r="I397" s="414"/>
      <c r="J397" s="414"/>
      <c r="K397" s="414"/>
      <c r="L397" s="414"/>
      <c r="M397" s="414"/>
      <c r="N397" s="414"/>
      <c r="O397" s="414"/>
      <c r="P397" s="414"/>
      <c r="Q397" s="414"/>
      <c r="R397" s="439"/>
      <c r="S397" s="439"/>
    </row>
    <row r="398" spans="1:19" ht="15" thickBot="1">
      <c r="A398" s="214">
        <v>304</v>
      </c>
      <c r="B398" s="131"/>
      <c r="C398" s="116" t="s">
        <v>3</v>
      </c>
      <c r="D398" s="117"/>
      <c r="E398" s="127"/>
      <c r="F398" s="157"/>
      <c r="G398" s="394" t="e">
        <f t="shared" ref="G398:S398" si="281">+G68-G389-G394</f>
        <v>#REF!</v>
      </c>
      <c r="H398" s="415" t="e">
        <f t="shared" si="281"/>
        <v>#REF!</v>
      </c>
      <c r="I398" s="415" t="e">
        <f t="shared" si="281"/>
        <v>#REF!</v>
      </c>
      <c r="J398" s="415" t="e">
        <f t="shared" si="281"/>
        <v>#REF!</v>
      </c>
      <c r="K398" s="415" t="e">
        <f t="shared" si="281"/>
        <v>#REF!</v>
      </c>
      <c r="L398" s="415" t="e">
        <f t="shared" si="281"/>
        <v>#REF!</v>
      </c>
      <c r="M398" s="415" t="e">
        <f t="shared" si="281"/>
        <v>#REF!</v>
      </c>
      <c r="N398" s="415" t="e">
        <f t="shared" si="281"/>
        <v>#REF!</v>
      </c>
      <c r="O398" s="415" t="e">
        <f t="shared" si="281"/>
        <v>#REF!</v>
      </c>
      <c r="P398" s="415" t="e">
        <f t="shared" si="281"/>
        <v>#REF!</v>
      </c>
      <c r="Q398" s="415" t="e">
        <f t="shared" si="281"/>
        <v>#REF!</v>
      </c>
      <c r="R398" s="440" t="e">
        <f t="shared" si="281"/>
        <v>#REF!</v>
      </c>
      <c r="S398" s="440" t="e">
        <f t="shared" si="281"/>
        <v>#REF!</v>
      </c>
    </row>
    <row r="399" spans="1:19">
      <c r="A399" s="202"/>
      <c r="G399" s="379"/>
      <c r="H399" s="379"/>
      <c r="I399" s="379"/>
      <c r="J399" s="379"/>
      <c r="K399" s="379"/>
    </row>
    <row r="400" spans="1:19">
      <c r="A400" s="202"/>
      <c r="G400" s="379"/>
      <c r="H400" s="379"/>
      <c r="I400" s="379"/>
      <c r="J400" s="379"/>
      <c r="K400" s="379"/>
    </row>
    <row r="401" spans="1:11">
      <c r="A401" s="202"/>
      <c r="G401" s="379"/>
      <c r="H401" s="379"/>
      <c r="I401" s="379"/>
      <c r="J401" s="379"/>
      <c r="K401" s="379"/>
    </row>
    <row r="402" spans="1:11">
      <c r="A402" s="202"/>
      <c r="G402" s="379"/>
      <c r="H402" s="379"/>
      <c r="I402" s="379"/>
      <c r="J402" s="379"/>
      <c r="K402" s="379"/>
    </row>
    <row r="403" spans="1:11">
      <c r="A403" s="202"/>
    </row>
    <row r="404" spans="1:11">
      <c r="A404" s="202"/>
    </row>
    <row r="405" spans="1:11">
      <c r="A405" s="202"/>
    </row>
    <row r="406" spans="1:11">
      <c r="A406" s="202"/>
    </row>
    <row r="407" spans="1:11">
      <c r="A407" s="202"/>
    </row>
    <row r="408" spans="1:11">
      <c r="A408" s="202"/>
    </row>
    <row r="409" spans="1:11">
      <c r="A409" s="202"/>
    </row>
    <row r="410" spans="1:11">
      <c r="A410" s="202"/>
    </row>
    <row r="411" spans="1:11">
      <c r="A411" s="202"/>
    </row>
    <row r="412" spans="1:11">
      <c r="A412" s="202"/>
    </row>
    <row r="413" spans="1:11">
      <c r="A413" s="202"/>
    </row>
    <row r="414" spans="1:11">
      <c r="A414" s="202"/>
    </row>
    <row r="415" spans="1:11">
      <c r="A415" s="202"/>
    </row>
    <row r="416" spans="1:11">
      <c r="A416" s="202"/>
    </row>
    <row r="417" spans="1:1">
      <c r="A417" s="202"/>
    </row>
    <row r="418" spans="1:1">
      <c r="A418" s="202"/>
    </row>
    <row r="419" spans="1:1">
      <c r="A419" s="202"/>
    </row>
    <row r="420" spans="1:1">
      <c r="A420" s="202"/>
    </row>
    <row r="421" spans="1:1">
      <c r="A421" s="202"/>
    </row>
    <row r="422" spans="1:1">
      <c r="A422" s="202"/>
    </row>
    <row r="423" spans="1:1">
      <c r="A423" s="202"/>
    </row>
    <row r="424" spans="1:1">
      <c r="A424" s="202"/>
    </row>
    <row r="425" spans="1:1">
      <c r="A425" s="202"/>
    </row>
    <row r="426" spans="1:1">
      <c r="A426" s="202"/>
    </row>
    <row r="427" spans="1:1">
      <c r="A427" s="202"/>
    </row>
    <row r="428" spans="1:1">
      <c r="A428" s="202"/>
    </row>
    <row r="429" spans="1:1">
      <c r="A429" s="202"/>
    </row>
    <row r="430" spans="1:1">
      <c r="A430" s="202"/>
    </row>
    <row r="431" spans="1:1">
      <c r="A431" s="202"/>
    </row>
    <row r="432" spans="1:1">
      <c r="A432" s="202"/>
    </row>
    <row r="433" spans="1:1">
      <c r="A433" s="202"/>
    </row>
    <row r="434" spans="1:1">
      <c r="A434" s="202"/>
    </row>
    <row r="435" spans="1:1">
      <c r="A435" s="202"/>
    </row>
    <row r="436" spans="1:1">
      <c r="A436" s="202"/>
    </row>
    <row r="437" spans="1:1">
      <c r="A437" s="202"/>
    </row>
    <row r="438" spans="1:1">
      <c r="A438" s="202"/>
    </row>
    <row r="439" spans="1:1">
      <c r="A439" s="202"/>
    </row>
    <row r="440" spans="1:1">
      <c r="A440" s="202"/>
    </row>
    <row r="441" spans="1:1">
      <c r="A441" s="202"/>
    </row>
    <row r="442" spans="1:1">
      <c r="A442" s="202"/>
    </row>
    <row r="443" spans="1:1">
      <c r="A443" s="202"/>
    </row>
    <row r="444" spans="1:1">
      <c r="A444" s="202"/>
    </row>
    <row r="445" spans="1:1">
      <c r="A445" s="202"/>
    </row>
    <row r="446" spans="1:1">
      <c r="A446" s="202"/>
    </row>
    <row r="447" spans="1:1">
      <c r="A447" s="202"/>
    </row>
    <row r="448" spans="1:1">
      <c r="A448" s="202"/>
    </row>
    <row r="449" spans="1:1">
      <c r="A449" s="202"/>
    </row>
    <row r="450" spans="1:1">
      <c r="A450" s="202"/>
    </row>
    <row r="451" spans="1:1">
      <c r="A451" s="202"/>
    </row>
    <row r="452" spans="1:1">
      <c r="A452" s="202"/>
    </row>
    <row r="453" spans="1:1">
      <c r="A453" s="202"/>
    </row>
    <row r="454" spans="1:1">
      <c r="A454" s="202"/>
    </row>
    <row r="455" spans="1:1">
      <c r="A455" s="202"/>
    </row>
    <row r="456" spans="1:1">
      <c r="A456" s="202"/>
    </row>
    <row r="457" spans="1:1">
      <c r="A457" s="202"/>
    </row>
    <row r="458" spans="1:1">
      <c r="A458" s="202"/>
    </row>
    <row r="459" spans="1:1">
      <c r="A459" s="202"/>
    </row>
    <row r="460" spans="1:1">
      <c r="A460" s="202"/>
    </row>
    <row r="461" spans="1:1">
      <c r="A461" s="202"/>
    </row>
    <row r="462" spans="1:1">
      <c r="A462" s="202"/>
    </row>
    <row r="463" spans="1:1">
      <c r="A463" s="202"/>
    </row>
    <row r="464" spans="1:1">
      <c r="A464" s="202"/>
    </row>
    <row r="465" spans="1:1">
      <c r="A465" s="202"/>
    </row>
    <row r="466" spans="1:1">
      <c r="A466" s="202"/>
    </row>
    <row r="467" spans="1:1">
      <c r="A467" s="202"/>
    </row>
    <row r="468" spans="1:1">
      <c r="A468" s="202"/>
    </row>
    <row r="469" spans="1:1">
      <c r="A469" s="202"/>
    </row>
    <row r="470" spans="1:1">
      <c r="A470" s="202"/>
    </row>
    <row r="471" spans="1:1">
      <c r="A471" s="202"/>
    </row>
    <row r="472" spans="1:1">
      <c r="A472" s="202"/>
    </row>
    <row r="473" spans="1:1">
      <c r="A473" s="202"/>
    </row>
    <row r="474" spans="1:1">
      <c r="A474" s="202"/>
    </row>
    <row r="475" spans="1:1">
      <c r="A475" s="202"/>
    </row>
    <row r="476" spans="1:1">
      <c r="A476" s="202"/>
    </row>
    <row r="477" spans="1:1">
      <c r="A477" s="202"/>
    </row>
    <row r="478" spans="1:1">
      <c r="A478" s="202"/>
    </row>
    <row r="479" spans="1:1">
      <c r="A479" s="202"/>
    </row>
    <row r="480" spans="1:1">
      <c r="A480" s="202"/>
    </row>
    <row r="481" spans="1:1">
      <c r="A481" s="202"/>
    </row>
    <row r="482" spans="1:1">
      <c r="A482" s="202"/>
    </row>
    <row r="483" spans="1:1">
      <c r="A483" s="202"/>
    </row>
    <row r="484" spans="1:1">
      <c r="A484" s="202"/>
    </row>
    <row r="485" spans="1:1">
      <c r="A485" s="202"/>
    </row>
    <row r="486" spans="1:1">
      <c r="A486" s="202"/>
    </row>
    <row r="487" spans="1:1">
      <c r="A487" s="202"/>
    </row>
    <row r="488" spans="1:1">
      <c r="A488" s="202"/>
    </row>
    <row r="489" spans="1:1">
      <c r="A489" s="202"/>
    </row>
    <row r="490" spans="1:1">
      <c r="A490" s="202"/>
    </row>
    <row r="491" spans="1:1">
      <c r="A491" s="202"/>
    </row>
    <row r="492" spans="1:1">
      <c r="A492" s="202"/>
    </row>
    <row r="493" spans="1:1">
      <c r="A493" s="202"/>
    </row>
    <row r="494" spans="1:1">
      <c r="A494" s="202"/>
    </row>
    <row r="495" spans="1:1">
      <c r="A495" s="202"/>
    </row>
    <row r="496" spans="1:1">
      <c r="A496" s="202"/>
    </row>
    <row r="497" spans="1:1">
      <c r="A497" s="202"/>
    </row>
    <row r="498" spans="1:1">
      <c r="A498" s="202"/>
    </row>
    <row r="499" spans="1:1">
      <c r="A499" s="202"/>
    </row>
    <row r="500" spans="1:1">
      <c r="A500" s="202"/>
    </row>
    <row r="501" spans="1:1">
      <c r="A501" s="202"/>
    </row>
    <row r="502" spans="1:1">
      <c r="A502" s="202"/>
    </row>
    <row r="503" spans="1:1">
      <c r="A503" s="202"/>
    </row>
    <row r="504" spans="1:1">
      <c r="A504" s="202"/>
    </row>
    <row r="505" spans="1:1">
      <c r="A505" s="202"/>
    </row>
    <row r="506" spans="1:1">
      <c r="A506" s="202"/>
    </row>
    <row r="507" spans="1:1">
      <c r="A507" s="202"/>
    </row>
    <row r="508" spans="1:1">
      <c r="A508" s="202"/>
    </row>
    <row r="509" spans="1:1">
      <c r="A509" s="202"/>
    </row>
    <row r="510" spans="1:1">
      <c r="A510" s="202"/>
    </row>
    <row r="511" spans="1:1">
      <c r="A511" s="202"/>
    </row>
    <row r="512" spans="1:1">
      <c r="A512" s="202"/>
    </row>
    <row r="513" spans="1:1">
      <c r="A513" s="202"/>
    </row>
    <row r="514" spans="1:1">
      <c r="A514" s="202"/>
    </row>
    <row r="515" spans="1:1">
      <c r="A515" s="202"/>
    </row>
    <row r="516" spans="1:1">
      <c r="A516" s="202"/>
    </row>
    <row r="517" spans="1:1">
      <c r="A517" s="202"/>
    </row>
    <row r="518" spans="1:1">
      <c r="A518" s="202"/>
    </row>
    <row r="519" spans="1:1">
      <c r="A519" s="202"/>
    </row>
    <row r="520" spans="1:1">
      <c r="A520" s="202"/>
    </row>
    <row r="521" spans="1:1">
      <c r="A521" s="202"/>
    </row>
    <row r="522" spans="1:1">
      <c r="A522" s="202"/>
    </row>
    <row r="523" spans="1:1">
      <c r="A523" s="202"/>
    </row>
    <row r="524" spans="1:1">
      <c r="A524" s="202"/>
    </row>
    <row r="525" spans="1:1">
      <c r="A525" s="202"/>
    </row>
    <row r="526" spans="1:1">
      <c r="A526" s="202"/>
    </row>
    <row r="527" spans="1:1">
      <c r="A527" s="202"/>
    </row>
    <row r="528" spans="1:1">
      <c r="A528" s="202"/>
    </row>
    <row r="529" spans="1:1">
      <c r="A529" s="202"/>
    </row>
    <row r="530" spans="1:1">
      <c r="A530" s="202"/>
    </row>
    <row r="531" spans="1:1">
      <c r="A531" s="202"/>
    </row>
    <row r="532" spans="1:1">
      <c r="A532" s="202"/>
    </row>
    <row r="533" spans="1:1">
      <c r="A533" s="202"/>
    </row>
    <row r="534" spans="1:1">
      <c r="A534" s="202"/>
    </row>
    <row r="535" spans="1:1">
      <c r="A535" s="202"/>
    </row>
    <row r="536" spans="1:1">
      <c r="A536" s="202"/>
    </row>
    <row r="537" spans="1:1">
      <c r="A537" s="202"/>
    </row>
    <row r="538" spans="1:1">
      <c r="A538" s="202"/>
    </row>
    <row r="539" spans="1:1">
      <c r="A539" s="202"/>
    </row>
    <row r="540" spans="1:1">
      <c r="A540" s="202"/>
    </row>
    <row r="541" spans="1:1">
      <c r="A541" s="202"/>
    </row>
    <row r="542" spans="1:1">
      <c r="A542" s="202"/>
    </row>
    <row r="543" spans="1:1">
      <c r="A543" s="202"/>
    </row>
    <row r="544" spans="1:1">
      <c r="A544" s="202"/>
    </row>
    <row r="545" spans="1:1">
      <c r="A545" s="202"/>
    </row>
    <row r="546" spans="1:1">
      <c r="A546" s="202"/>
    </row>
    <row r="547" spans="1:1">
      <c r="A547" s="202"/>
    </row>
    <row r="548" spans="1:1">
      <c r="A548" s="202"/>
    </row>
    <row r="549" spans="1:1">
      <c r="A549" s="202"/>
    </row>
    <row r="550" spans="1:1">
      <c r="A550" s="202"/>
    </row>
    <row r="551" spans="1:1">
      <c r="A551" s="202"/>
    </row>
    <row r="552" spans="1:1">
      <c r="A552" s="202"/>
    </row>
    <row r="553" spans="1:1">
      <c r="A553" s="202"/>
    </row>
    <row r="554" spans="1:1">
      <c r="A554" s="202"/>
    </row>
    <row r="555" spans="1:1">
      <c r="A555" s="202"/>
    </row>
    <row r="556" spans="1:1">
      <c r="A556" s="202"/>
    </row>
    <row r="557" spans="1:1">
      <c r="A557" s="202"/>
    </row>
    <row r="558" spans="1:1">
      <c r="A558" s="202"/>
    </row>
    <row r="559" spans="1:1">
      <c r="A559" s="202"/>
    </row>
    <row r="560" spans="1:1">
      <c r="A560" s="202"/>
    </row>
    <row r="561" spans="1:1">
      <c r="A561" s="202"/>
    </row>
    <row r="562" spans="1:1">
      <c r="A562" s="202"/>
    </row>
    <row r="563" spans="1:1">
      <c r="A563" s="202"/>
    </row>
    <row r="564" spans="1:1">
      <c r="A564" s="202"/>
    </row>
    <row r="565" spans="1:1">
      <c r="A565" s="202"/>
    </row>
    <row r="566" spans="1:1">
      <c r="A566" s="202"/>
    </row>
    <row r="567" spans="1:1">
      <c r="A567" s="202"/>
    </row>
    <row r="568" spans="1:1">
      <c r="A568" s="202"/>
    </row>
    <row r="569" spans="1:1">
      <c r="A569" s="202"/>
    </row>
    <row r="570" spans="1:1">
      <c r="A570" s="202"/>
    </row>
    <row r="571" spans="1:1">
      <c r="A571" s="202"/>
    </row>
    <row r="572" spans="1:1">
      <c r="A572" s="202"/>
    </row>
    <row r="573" spans="1:1">
      <c r="A573" s="202"/>
    </row>
    <row r="574" spans="1:1">
      <c r="A574" s="202"/>
    </row>
    <row r="575" spans="1:1">
      <c r="A575" s="202"/>
    </row>
    <row r="576" spans="1:1">
      <c r="A576" s="202"/>
    </row>
    <row r="577" spans="1:1">
      <c r="A577" s="202"/>
    </row>
    <row r="578" spans="1:1">
      <c r="A578" s="202"/>
    </row>
    <row r="579" spans="1:1">
      <c r="A579" s="202"/>
    </row>
    <row r="580" spans="1:1">
      <c r="A580" s="202"/>
    </row>
    <row r="581" spans="1:1">
      <c r="A581" s="202"/>
    </row>
    <row r="582" spans="1:1">
      <c r="A582" s="202"/>
    </row>
    <row r="583" spans="1:1">
      <c r="A583" s="202"/>
    </row>
    <row r="584" spans="1:1">
      <c r="A584" s="202"/>
    </row>
    <row r="585" spans="1:1">
      <c r="A585" s="202"/>
    </row>
    <row r="586" spans="1:1">
      <c r="A586" s="202"/>
    </row>
    <row r="587" spans="1:1">
      <c r="A587" s="202"/>
    </row>
    <row r="588" spans="1:1">
      <c r="A588" s="202"/>
    </row>
    <row r="589" spans="1:1">
      <c r="A589" s="202"/>
    </row>
    <row r="590" spans="1:1">
      <c r="A590" s="202"/>
    </row>
    <row r="591" spans="1:1">
      <c r="A591" s="202"/>
    </row>
    <row r="592" spans="1:1">
      <c r="A592" s="202"/>
    </row>
    <row r="593" spans="1:1">
      <c r="A593" s="202"/>
    </row>
    <row r="594" spans="1:1">
      <c r="A594" s="202"/>
    </row>
    <row r="595" spans="1:1">
      <c r="A595" s="202"/>
    </row>
    <row r="596" spans="1:1">
      <c r="A596" s="202"/>
    </row>
    <row r="597" spans="1:1">
      <c r="A597" s="202"/>
    </row>
    <row r="598" spans="1:1">
      <c r="A598" s="202"/>
    </row>
    <row r="599" spans="1:1">
      <c r="A599" s="202"/>
    </row>
    <row r="600" spans="1:1">
      <c r="A600" s="202"/>
    </row>
    <row r="601" spans="1:1">
      <c r="A601" s="202"/>
    </row>
    <row r="602" spans="1:1">
      <c r="A602" s="202"/>
    </row>
    <row r="603" spans="1:1">
      <c r="A603" s="202"/>
    </row>
    <row r="604" spans="1:1">
      <c r="A604" s="202"/>
    </row>
    <row r="605" spans="1:1">
      <c r="A605" s="202"/>
    </row>
    <row r="606" spans="1:1">
      <c r="A606" s="202"/>
    </row>
    <row r="607" spans="1:1">
      <c r="A607" s="202"/>
    </row>
    <row r="608" spans="1:1">
      <c r="A608" s="202"/>
    </row>
    <row r="609" spans="1:1">
      <c r="A609" s="202"/>
    </row>
    <row r="610" spans="1:1">
      <c r="A610" s="202"/>
    </row>
    <row r="611" spans="1:1">
      <c r="A611" s="202"/>
    </row>
    <row r="612" spans="1:1">
      <c r="A612" s="202"/>
    </row>
    <row r="613" spans="1:1">
      <c r="A613" s="202"/>
    </row>
    <row r="614" spans="1:1">
      <c r="A614" s="202"/>
    </row>
    <row r="615" spans="1:1">
      <c r="A615" s="202"/>
    </row>
    <row r="616" spans="1:1">
      <c r="A616" s="202"/>
    </row>
    <row r="617" spans="1:1">
      <c r="A617" s="202"/>
    </row>
    <row r="618" spans="1:1">
      <c r="A618" s="202"/>
    </row>
    <row r="619" spans="1:1">
      <c r="A619" s="202"/>
    </row>
    <row r="620" spans="1:1">
      <c r="A620" s="202"/>
    </row>
    <row r="621" spans="1:1">
      <c r="A621" s="202"/>
    </row>
    <row r="622" spans="1:1">
      <c r="A622" s="202"/>
    </row>
    <row r="623" spans="1:1">
      <c r="A623" s="202"/>
    </row>
    <row r="624" spans="1:1">
      <c r="A624" s="202"/>
    </row>
    <row r="625" spans="1:1">
      <c r="A625" s="202"/>
    </row>
    <row r="626" spans="1:1">
      <c r="A626" s="202"/>
    </row>
    <row r="627" spans="1:1">
      <c r="A627" s="202"/>
    </row>
    <row r="628" spans="1:1">
      <c r="A628" s="202"/>
    </row>
    <row r="629" spans="1:1">
      <c r="A629" s="202"/>
    </row>
    <row r="630" spans="1:1">
      <c r="A630" s="202"/>
    </row>
    <row r="631" spans="1:1">
      <c r="A631" s="202"/>
    </row>
    <row r="632" spans="1:1">
      <c r="A632" s="202"/>
    </row>
    <row r="633" spans="1:1">
      <c r="A633" s="202"/>
    </row>
    <row r="634" spans="1:1">
      <c r="A634" s="202"/>
    </row>
    <row r="635" spans="1:1">
      <c r="A635" s="202"/>
    </row>
    <row r="636" spans="1:1">
      <c r="A636" s="202"/>
    </row>
    <row r="637" spans="1:1">
      <c r="A637" s="202"/>
    </row>
    <row r="638" spans="1:1">
      <c r="A638" s="202"/>
    </row>
    <row r="639" spans="1:1">
      <c r="A639" s="202"/>
    </row>
    <row r="640" spans="1:1">
      <c r="A640" s="202"/>
    </row>
    <row r="641" spans="1:1">
      <c r="A641" s="202"/>
    </row>
    <row r="642" spans="1:1">
      <c r="A642" s="202"/>
    </row>
    <row r="643" spans="1:1">
      <c r="A643" s="202"/>
    </row>
    <row r="644" spans="1:1">
      <c r="A644" s="202"/>
    </row>
    <row r="645" spans="1:1">
      <c r="A645" s="202"/>
    </row>
    <row r="646" spans="1:1">
      <c r="A646" s="202"/>
    </row>
    <row r="647" spans="1:1">
      <c r="A647" s="202"/>
    </row>
    <row r="648" spans="1:1">
      <c r="A648" s="202"/>
    </row>
    <row r="649" spans="1:1">
      <c r="A649" s="202"/>
    </row>
    <row r="650" spans="1:1">
      <c r="A650" s="202"/>
    </row>
    <row r="651" spans="1:1">
      <c r="A651" s="202"/>
    </row>
    <row r="652" spans="1:1">
      <c r="A652" s="202"/>
    </row>
    <row r="653" spans="1:1">
      <c r="A653" s="202"/>
    </row>
    <row r="654" spans="1:1">
      <c r="A654" s="202"/>
    </row>
    <row r="655" spans="1:1">
      <c r="A655" s="202"/>
    </row>
    <row r="656" spans="1:1">
      <c r="A656" s="202"/>
    </row>
    <row r="657" spans="1:1">
      <c r="A657" s="202"/>
    </row>
    <row r="658" spans="1:1">
      <c r="A658" s="202"/>
    </row>
    <row r="659" spans="1:1">
      <c r="A659" s="202"/>
    </row>
    <row r="660" spans="1:1">
      <c r="A660" s="202"/>
    </row>
    <row r="661" spans="1:1">
      <c r="A661" s="202"/>
    </row>
    <row r="662" spans="1:1">
      <c r="A662" s="202"/>
    </row>
    <row r="663" spans="1:1">
      <c r="A663" s="202"/>
    </row>
    <row r="664" spans="1:1">
      <c r="A664" s="202"/>
    </row>
    <row r="665" spans="1:1">
      <c r="A665" s="202"/>
    </row>
    <row r="666" spans="1:1">
      <c r="A666" s="202"/>
    </row>
    <row r="667" spans="1:1">
      <c r="A667" s="202"/>
    </row>
    <row r="668" spans="1:1">
      <c r="A668" s="202"/>
    </row>
    <row r="669" spans="1:1">
      <c r="A669" s="202"/>
    </row>
    <row r="670" spans="1:1">
      <c r="A670" s="202"/>
    </row>
    <row r="671" spans="1:1">
      <c r="A671" s="202"/>
    </row>
    <row r="672" spans="1:1">
      <c r="A672" s="202"/>
    </row>
    <row r="673" spans="1:1">
      <c r="A673" s="202"/>
    </row>
    <row r="674" spans="1:1">
      <c r="A674" s="202"/>
    </row>
    <row r="675" spans="1:1">
      <c r="A675" s="202"/>
    </row>
    <row r="676" spans="1:1">
      <c r="A676" s="202"/>
    </row>
    <row r="677" spans="1:1">
      <c r="A677" s="202"/>
    </row>
    <row r="678" spans="1:1">
      <c r="A678" s="202"/>
    </row>
    <row r="679" spans="1:1">
      <c r="A679" s="202"/>
    </row>
    <row r="680" spans="1:1">
      <c r="A680" s="202"/>
    </row>
    <row r="681" spans="1:1">
      <c r="A681" s="202"/>
    </row>
    <row r="682" spans="1:1">
      <c r="A682" s="202"/>
    </row>
    <row r="683" spans="1:1">
      <c r="A683" s="202"/>
    </row>
    <row r="684" spans="1:1">
      <c r="A684" s="202"/>
    </row>
    <row r="685" spans="1:1">
      <c r="A685" s="202"/>
    </row>
    <row r="686" spans="1:1">
      <c r="A686" s="202"/>
    </row>
    <row r="687" spans="1:1">
      <c r="A687" s="202"/>
    </row>
    <row r="688" spans="1:1">
      <c r="A688" s="202"/>
    </row>
    <row r="689" spans="1:1">
      <c r="A689" s="202"/>
    </row>
    <row r="690" spans="1:1">
      <c r="A690" s="202"/>
    </row>
    <row r="691" spans="1:1">
      <c r="A691" s="202"/>
    </row>
    <row r="692" spans="1:1">
      <c r="A692" s="202"/>
    </row>
    <row r="693" spans="1:1">
      <c r="A693" s="202"/>
    </row>
    <row r="694" spans="1:1">
      <c r="A694" s="202"/>
    </row>
    <row r="695" spans="1:1">
      <c r="A695" s="202"/>
    </row>
    <row r="696" spans="1:1">
      <c r="A696" s="202"/>
    </row>
  </sheetData>
  <mergeCells count="18">
    <mergeCell ref="A36:K36"/>
    <mergeCell ref="K4:K5"/>
    <mergeCell ref="B4:D5"/>
    <mergeCell ref="H4:H5"/>
    <mergeCell ref="I4:I5"/>
    <mergeCell ref="J4:J5"/>
    <mergeCell ref="E4:E5"/>
    <mergeCell ref="F4:F5"/>
    <mergeCell ref="G4:G5"/>
    <mergeCell ref="A2:S2"/>
    <mergeCell ref="P4:P5"/>
    <mergeCell ref="Q4:Q5"/>
    <mergeCell ref="R4:R5"/>
    <mergeCell ref="S4:S5"/>
    <mergeCell ref="L4:L5"/>
    <mergeCell ref="M4:M5"/>
    <mergeCell ref="N4:N5"/>
    <mergeCell ref="O4:O5"/>
  </mergeCells>
  <phoneticPr fontId="0" type="noConversion"/>
  <printOptions horizontalCentered="1"/>
  <pageMargins left="0.27" right="0.16" top="0.17" bottom="0.26" header="0.28999999999999998" footer="0.17"/>
  <pageSetup paperSize="5" scale="75" orientation="landscape"/>
  <headerFooter alignWithMargins="0"/>
  <rowBreaks count="14" manualBreakCount="14">
    <brk id="38" max="16383" man="1"/>
    <brk id="71" max="16383" man="1"/>
    <brk id="98" max="16383" man="1"/>
    <brk id="125" max="16383" man="1"/>
    <brk id="152" max="16383" man="1"/>
    <brk id="186" max="16383" man="1"/>
    <brk id="201" max="16383" man="1"/>
    <brk id="226" max="16383" man="1"/>
    <brk id="251" max="16383" man="1"/>
    <brk id="283" max="16383" man="1"/>
    <brk id="305" max="16383" man="1"/>
    <brk id="324" max="16383" man="1"/>
    <brk id="347" max="16383" man="1"/>
    <brk id="376"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0"/>
  <sheetViews>
    <sheetView topLeftCell="A25" workbookViewId="0">
      <selection activeCell="O49" sqref="O49"/>
    </sheetView>
  </sheetViews>
  <sheetFormatPr baseColWidth="10" defaultColWidth="10.83203125" defaultRowHeight="13"/>
  <sheetData>
    <row r="1" spans="1:12">
      <c r="G1" t="s">
        <v>501</v>
      </c>
      <c r="H1">
        <v>26</v>
      </c>
      <c r="I1">
        <v>27</v>
      </c>
      <c r="J1">
        <v>27</v>
      </c>
      <c r="K1">
        <v>27</v>
      </c>
      <c r="L1">
        <v>27</v>
      </c>
    </row>
    <row r="2" spans="1:12">
      <c r="A2" t="s">
        <v>387</v>
      </c>
      <c r="B2" t="s">
        <v>234</v>
      </c>
      <c r="C2" t="s">
        <v>235</v>
      </c>
      <c r="D2" t="s">
        <v>236</v>
      </c>
      <c r="E2" t="s">
        <v>237</v>
      </c>
      <c r="F2" t="s">
        <v>238</v>
      </c>
      <c r="G2" t="s">
        <v>117</v>
      </c>
      <c r="H2" t="s">
        <v>234</v>
      </c>
      <c r="I2" t="s">
        <v>235</v>
      </c>
      <c r="J2" t="s">
        <v>236</v>
      </c>
      <c r="K2" t="s">
        <v>237</v>
      </c>
      <c r="L2" t="s">
        <v>238</v>
      </c>
    </row>
    <row r="3" spans="1:12">
      <c r="A3" t="s">
        <v>394</v>
      </c>
      <c r="B3" s="452"/>
      <c r="C3" s="452"/>
      <c r="D3" s="452"/>
      <c r="E3" s="452"/>
      <c r="F3" s="452"/>
    </row>
    <row r="4" spans="1:12">
      <c r="A4" t="s">
        <v>395</v>
      </c>
      <c r="B4" s="452"/>
      <c r="C4" s="452"/>
      <c r="D4" s="452"/>
      <c r="E4" s="452"/>
      <c r="F4" s="452"/>
      <c r="H4" s="452">
        <f>ROUND(B4/H$1,0)</f>
        <v>0</v>
      </c>
      <c r="I4" s="452">
        <f>ROUND(C4/I$1,0)</f>
        <v>0</v>
      </c>
      <c r="J4" s="452">
        <f t="shared" ref="J4:J16" si="0">ROUND(D4/J$1,0)</f>
        <v>0</v>
      </c>
      <c r="K4" s="452">
        <f t="shared" ref="K4:K16" si="1">ROUND(E4/K$1,0)</f>
        <v>0</v>
      </c>
      <c r="L4" s="452">
        <f t="shared" ref="L4:L16" si="2">ROUND(F4/L$1,0)</f>
        <v>0</v>
      </c>
    </row>
    <row r="5" spans="1:12">
      <c r="A5">
        <v>1</v>
      </c>
      <c r="B5" s="452"/>
      <c r="C5" s="452"/>
      <c r="D5" s="452"/>
      <c r="E5" s="452"/>
      <c r="F5" s="452"/>
      <c r="H5" s="452">
        <f t="shared" ref="H5:H16" si="3">ROUND(B5/H$1,0)</f>
        <v>0</v>
      </c>
      <c r="I5" s="452">
        <f t="shared" ref="I5:I16" si="4">ROUND(C5/I$1,0)</f>
        <v>0</v>
      </c>
      <c r="J5" s="452">
        <f t="shared" si="0"/>
        <v>0</v>
      </c>
      <c r="K5" s="452">
        <f t="shared" si="1"/>
        <v>0</v>
      </c>
      <c r="L5" s="452">
        <f t="shared" si="2"/>
        <v>0</v>
      </c>
    </row>
    <row r="6" spans="1:12">
      <c r="A6">
        <v>2</v>
      </c>
      <c r="B6" s="452"/>
      <c r="C6" s="452"/>
      <c r="D6" s="452"/>
      <c r="E6" s="452"/>
      <c r="F6" s="452"/>
      <c r="H6" s="452">
        <f t="shared" si="3"/>
        <v>0</v>
      </c>
      <c r="I6" s="452">
        <f t="shared" si="4"/>
        <v>0</v>
      </c>
      <c r="J6" s="452">
        <f t="shared" si="0"/>
        <v>0</v>
      </c>
      <c r="K6" s="452">
        <f t="shared" si="1"/>
        <v>0</v>
      </c>
      <c r="L6" s="452">
        <f t="shared" si="2"/>
        <v>0</v>
      </c>
    </row>
    <row r="7" spans="1:12">
      <c r="A7">
        <v>3</v>
      </c>
      <c r="B7" s="452"/>
      <c r="C7" s="452"/>
      <c r="D7" s="452"/>
      <c r="E7" s="452"/>
      <c r="F7" s="452"/>
      <c r="H7" s="452">
        <f t="shared" si="3"/>
        <v>0</v>
      </c>
      <c r="I7" s="452">
        <f t="shared" si="4"/>
        <v>0</v>
      </c>
      <c r="J7" s="452">
        <f t="shared" si="0"/>
        <v>0</v>
      </c>
      <c r="K7" s="452">
        <f t="shared" si="1"/>
        <v>0</v>
      </c>
      <c r="L7" s="452">
        <f t="shared" si="2"/>
        <v>0</v>
      </c>
    </row>
    <row r="8" spans="1:12">
      <c r="A8">
        <v>4</v>
      </c>
      <c r="B8" s="452"/>
      <c r="C8" s="452"/>
      <c r="D8" s="452"/>
      <c r="E8" s="452"/>
      <c r="F8" s="452"/>
      <c r="H8" s="452">
        <f t="shared" si="3"/>
        <v>0</v>
      </c>
      <c r="I8" s="452">
        <f t="shared" si="4"/>
        <v>0</v>
      </c>
      <c r="J8" s="452">
        <f t="shared" si="0"/>
        <v>0</v>
      </c>
      <c r="K8" s="452">
        <f t="shared" si="1"/>
        <v>0</v>
      </c>
      <c r="L8" s="452">
        <f t="shared" si="2"/>
        <v>0</v>
      </c>
    </row>
    <row r="9" spans="1:12">
      <c r="A9">
        <v>5</v>
      </c>
      <c r="B9" s="452"/>
      <c r="C9" s="452"/>
      <c r="D9" s="452"/>
      <c r="E9" s="452"/>
      <c r="F9" s="452"/>
      <c r="H9" s="452">
        <f t="shared" si="3"/>
        <v>0</v>
      </c>
      <c r="I9" s="452">
        <f t="shared" si="4"/>
        <v>0</v>
      </c>
      <c r="J9" s="452">
        <f t="shared" si="0"/>
        <v>0</v>
      </c>
      <c r="K9" s="452">
        <f t="shared" si="1"/>
        <v>0</v>
      </c>
      <c r="L9" s="452">
        <f t="shared" si="2"/>
        <v>0</v>
      </c>
    </row>
    <row r="10" spans="1:12">
      <c r="A10">
        <v>6</v>
      </c>
      <c r="B10" s="452"/>
      <c r="C10" s="452"/>
      <c r="D10" s="452"/>
      <c r="E10" s="452"/>
      <c r="F10" s="452"/>
      <c r="H10" s="452">
        <f t="shared" si="3"/>
        <v>0</v>
      </c>
      <c r="I10" s="452">
        <f t="shared" si="4"/>
        <v>0</v>
      </c>
      <c r="J10" s="452">
        <f t="shared" si="0"/>
        <v>0</v>
      </c>
      <c r="K10" s="452">
        <f t="shared" si="1"/>
        <v>0</v>
      </c>
      <c r="L10" s="452">
        <f t="shared" si="2"/>
        <v>0</v>
      </c>
    </row>
    <row r="11" spans="1:12">
      <c r="A11">
        <v>7</v>
      </c>
      <c r="B11" s="452">
        <v>100</v>
      </c>
      <c r="C11" s="452">
        <v>100</v>
      </c>
      <c r="D11" s="452">
        <v>100</v>
      </c>
      <c r="E11" s="452">
        <v>100</v>
      </c>
      <c r="F11" s="452">
        <v>100</v>
      </c>
      <c r="H11" s="452">
        <f t="shared" si="3"/>
        <v>4</v>
      </c>
      <c r="I11" s="452">
        <f t="shared" si="4"/>
        <v>4</v>
      </c>
      <c r="J11" s="452">
        <f t="shared" si="0"/>
        <v>4</v>
      </c>
      <c r="K11" s="452">
        <f t="shared" si="1"/>
        <v>4</v>
      </c>
      <c r="L11" s="452">
        <f t="shared" si="2"/>
        <v>4</v>
      </c>
    </row>
    <row r="12" spans="1:12">
      <c r="A12">
        <v>8</v>
      </c>
      <c r="B12" s="452">
        <v>100</v>
      </c>
      <c r="C12" s="452">
        <v>100</v>
      </c>
      <c r="D12" s="452">
        <v>100</v>
      </c>
      <c r="E12" s="452">
        <v>100</v>
      </c>
      <c r="F12" s="452">
        <v>100</v>
      </c>
      <c r="H12" s="452">
        <f t="shared" si="3"/>
        <v>4</v>
      </c>
      <c r="I12" s="452">
        <f t="shared" si="4"/>
        <v>4</v>
      </c>
      <c r="J12" s="452">
        <f t="shared" si="0"/>
        <v>4</v>
      </c>
      <c r="K12" s="452">
        <f t="shared" si="1"/>
        <v>4</v>
      </c>
      <c r="L12" s="452">
        <f t="shared" si="2"/>
        <v>4</v>
      </c>
    </row>
    <row r="13" spans="1:12">
      <c r="A13">
        <v>9</v>
      </c>
      <c r="B13" s="452">
        <v>100</v>
      </c>
      <c r="C13" s="452">
        <v>100</v>
      </c>
      <c r="D13" s="452">
        <v>100</v>
      </c>
      <c r="E13" s="452">
        <v>100</v>
      </c>
      <c r="F13" s="452">
        <v>100</v>
      </c>
      <c r="H13" s="452">
        <f t="shared" si="3"/>
        <v>4</v>
      </c>
      <c r="I13" s="452">
        <f t="shared" si="4"/>
        <v>4</v>
      </c>
      <c r="J13" s="452">
        <f t="shared" si="0"/>
        <v>4</v>
      </c>
      <c r="K13" s="452">
        <f t="shared" si="1"/>
        <v>4</v>
      </c>
      <c r="L13" s="452">
        <f t="shared" si="2"/>
        <v>4</v>
      </c>
    </row>
    <row r="14" spans="1:12">
      <c r="A14">
        <v>10</v>
      </c>
      <c r="B14" s="452"/>
      <c r="C14" s="452">
        <v>100</v>
      </c>
      <c r="D14" s="452">
        <v>100</v>
      </c>
      <c r="E14" s="452">
        <v>100</v>
      </c>
      <c r="F14" s="452">
        <v>100</v>
      </c>
      <c r="H14" s="452">
        <f t="shared" si="3"/>
        <v>0</v>
      </c>
      <c r="I14" s="452">
        <f t="shared" si="4"/>
        <v>4</v>
      </c>
      <c r="J14" s="452">
        <f t="shared" si="0"/>
        <v>4</v>
      </c>
      <c r="K14" s="452">
        <f t="shared" si="1"/>
        <v>4</v>
      </c>
      <c r="L14" s="452">
        <f t="shared" si="2"/>
        <v>4</v>
      </c>
    </row>
    <row r="15" spans="1:12">
      <c r="A15">
        <v>11</v>
      </c>
      <c r="B15" s="452"/>
      <c r="C15" s="452"/>
      <c r="D15" s="452">
        <v>100</v>
      </c>
      <c r="E15" s="452">
        <v>100</v>
      </c>
      <c r="F15" s="452">
        <v>100</v>
      </c>
      <c r="H15" s="452">
        <f t="shared" si="3"/>
        <v>0</v>
      </c>
      <c r="I15" s="452">
        <f t="shared" si="4"/>
        <v>0</v>
      </c>
      <c r="J15" s="452">
        <f t="shared" si="0"/>
        <v>4</v>
      </c>
      <c r="K15" s="452">
        <f t="shared" si="1"/>
        <v>4</v>
      </c>
      <c r="L15" s="452">
        <f t="shared" si="2"/>
        <v>4</v>
      </c>
    </row>
    <row r="16" spans="1:12">
      <c r="A16">
        <v>12</v>
      </c>
      <c r="B16" s="452"/>
      <c r="C16" s="452"/>
      <c r="D16" s="452"/>
      <c r="E16" s="452">
        <v>100</v>
      </c>
      <c r="F16" s="452">
        <v>100</v>
      </c>
      <c r="H16" s="452">
        <f t="shared" si="3"/>
        <v>0</v>
      </c>
      <c r="I16" s="452">
        <f t="shared" si="4"/>
        <v>0</v>
      </c>
      <c r="J16" s="452">
        <f t="shared" si="0"/>
        <v>0</v>
      </c>
      <c r="K16" s="452">
        <f t="shared" si="1"/>
        <v>4</v>
      </c>
      <c r="L16" s="452">
        <f t="shared" si="2"/>
        <v>4</v>
      </c>
    </row>
    <row r="17" spans="1:12">
      <c r="A17" t="s">
        <v>396</v>
      </c>
      <c r="B17" s="452">
        <f>SUM(B4:B16)</f>
        <v>300</v>
      </c>
      <c r="C17" s="452">
        <f>SUM(C4:C16)</f>
        <v>400</v>
      </c>
      <c r="D17" s="452">
        <f>SUM(D4:D16)</f>
        <v>500</v>
      </c>
      <c r="E17" s="452">
        <f>SUM(E4:E16)</f>
        <v>600</v>
      </c>
      <c r="F17" s="452">
        <f>SUM(F4:F16)</f>
        <v>600</v>
      </c>
      <c r="H17" s="452">
        <f>SUM(H4:H16)</f>
        <v>12</v>
      </c>
      <c r="I17" s="452">
        <f t="shared" ref="I17:L17" si="5">SUM(I4:I16)</f>
        <v>16</v>
      </c>
      <c r="J17" s="452">
        <f t="shared" si="5"/>
        <v>20</v>
      </c>
      <c r="K17" s="452">
        <f t="shared" si="5"/>
        <v>24</v>
      </c>
      <c r="L17" s="452">
        <f t="shared" si="5"/>
        <v>24</v>
      </c>
    </row>
    <row r="18" spans="1:12">
      <c r="A18" t="s">
        <v>397</v>
      </c>
      <c r="B18" s="452">
        <f>SUM(B17,B3)</f>
        <v>300</v>
      </c>
      <c r="C18" s="452">
        <f>SUM(C17,C3)</f>
        <v>400</v>
      </c>
      <c r="D18" s="452">
        <f>SUM(D17,D3)</f>
        <v>500</v>
      </c>
      <c r="E18" s="452">
        <f>SUM(E17,E3)</f>
        <v>600</v>
      </c>
      <c r="F18" s="452">
        <f>SUM(F17,F3)</f>
        <v>600</v>
      </c>
      <c r="H18" s="452">
        <f>ROUND(H17/3,0)</f>
        <v>4</v>
      </c>
      <c r="I18" s="452">
        <f t="shared" ref="I18:L18" si="6">ROUND(I17/3,0)</f>
        <v>5</v>
      </c>
      <c r="J18" s="452">
        <f t="shared" si="6"/>
        <v>7</v>
      </c>
      <c r="K18" s="452">
        <f t="shared" si="6"/>
        <v>8</v>
      </c>
      <c r="L18" s="452">
        <f t="shared" si="6"/>
        <v>8</v>
      </c>
    </row>
    <row r="19" spans="1:12">
      <c r="G19" t="s">
        <v>502</v>
      </c>
      <c r="H19" s="452">
        <f>SUM(H17:H18)</f>
        <v>16</v>
      </c>
      <c r="I19" s="452">
        <f t="shared" ref="I19:L19" si="7">SUM(I17:I18)</f>
        <v>21</v>
      </c>
      <c r="J19" s="452">
        <f t="shared" si="7"/>
        <v>27</v>
      </c>
      <c r="K19" s="452">
        <f t="shared" si="7"/>
        <v>32</v>
      </c>
      <c r="L19" s="452">
        <f t="shared" si="7"/>
        <v>32</v>
      </c>
    </row>
    <row r="20" spans="1:12">
      <c r="A20" t="s">
        <v>388</v>
      </c>
      <c r="G20" t="s">
        <v>517</v>
      </c>
      <c r="H20" s="452">
        <v>15</v>
      </c>
      <c r="I20" s="452">
        <v>15</v>
      </c>
      <c r="J20" s="452">
        <v>15</v>
      </c>
      <c r="K20" s="452">
        <v>15</v>
      </c>
      <c r="L20" s="452">
        <v>15</v>
      </c>
    </row>
    <row r="21" spans="1:12" ht="29">
      <c r="A21" t="s">
        <v>389</v>
      </c>
      <c r="B21" s="311">
        <v>7</v>
      </c>
      <c r="C21" s="311">
        <v>10</v>
      </c>
      <c r="D21" s="311">
        <v>15</v>
      </c>
      <c r="E21" s="311">
        <v>20</v>
      </c>
      <c r="F21" s="311">
        <v>20</v>
      </c>
      <c r="G21" s="360" t="s">
        <v>515</v>
      </c>
      <c r="H21" s="452">
        <f>ROUND(SUM(B21:B23)/H20,0)</f>
        <v>2</v>
      </c>
      <c r="I21" s="452">
        <f t="shared" ref="I21:L21" si="8">ROUND(SUM(C21:C23)/I20,0)</f>
        <v>3</v>
      </c>
      <c r="J21" s="452">
        <f t="shared" si="8"/>
        <v>4</v>
      </c>
      <c r="K21" s="452">
        <f t="shared" si="8"/>
        <v>6</v>
      </c>
      <c r="L21" s="452">
        <f t="shared" si="8"/>
        <v>6</v>
      </c>
    </row>
    <row r="22" spans="1:12" ht="15">
      <c r="A22" t="s">
        <v>390</v>
      </c>
      <c r="B22" s="311">
        <v>25</v>
      </c>
      <c r="C22" s="311">
        <v>33</v>
      </c>
      <c r="D22" s="311">
        <v>47</v>
      </c>
      <c r="E22" s="311">
        <v>59</v>
      </c>
      <c r="F22" s="311">
        <v>59</v>
      </c>
      <c r="G22" s="360"/>
    </row>
    <row r="23" spans="1:12" ht="15">
      <c r="A23" t="s">
        <v>391</v>
      </c>
      <c r="B23" s="311">
        <v>4</v>
      </c>
      <c r="C23" s="311">
        <v>5</v>
      </c>
      <c r="D23" s="311">
        <v>5</v>
      </c>
      <c r="E23" s="311">
        <v>6</v>
      </c>
      <c r="F23" s="311">
        <v>6</v>
      </c>
      <c r="G23" s="360" t="s">
        <v>517</v>
      </c>
      <c r="H23" s="311">
        <v>5</v>
      </c>
      <c r="I23" s="311">
        <v>5</v>
      </c>
      <c r="J23" s="311">
        <v>5</v>
      </c>
      <c r="K23" s="311">
        <v>5</v>
      </c>
      <c r="L23" s="311">
        <v>5</v>
      </c>
    </row>
    <row r="24" spans="1:12" ht="43">
      <c r="A24" t="s">
        <v>393</v>
      </c>
      <c r="B24" s="311">
        <v>4</v>
      </c>
      <c r="C24" s="311">
        <v>5</v>
      </c>
      <c r="D24" s="311">
        <v>5</v>
      </c>
      <c r="E24" s="311">
        <v>6</v>
      </c>
      <c r="F24" s="311">
        <v>6</v>
      </c>
      <c r="G24" s="360" t="s">
        <v>516</v>
      </c>
      <c r="H24" s="452">
        <f>ROUND(SUM(B24:B25)/H23,0)</f>
        <v>2</v>
      </c>
      <c r="I24" s="452">
        <f t="shared" ref="I24:L24" si="9">ROUND(SUM(C24:C25)/I23,0)</f>
        <v>2</v>
      </c>
      <c r="J24" s="452">
        <f t="shared" si="9"/>
        <v>2</v>
      </c>
      <c r="K24" s="452">
        <f t="shared" si="9"/>
        <v>2</v>
      </c>
      <c r="L24" s="452">
        <f t="shared" si="9"/>
        <v>2</v>
      </c>
    </row>
    <row r="25" spans="1:12" ht="15">
      <c r="A25" t="s">
        <v>392</v>
      </c>
      <c r="B25" s="311">
        <v>4</v>
      </c>
      <c r="C25" s="311">
        <v>5</v>
      </c>
      <c r="D25" s="311">
        <v>5</v>
      </c>
      <c r="E25" s="311">
        <v>6</v>
      </c>
      <c r="F25" s="311">
        <v>6</v>
      </c>
    </row>
    <row r="26" spans="1:12">
      <c r="A26" t="s">
        <v>312</v>
      </c>
      <c r="B26" s="452">
        <f>SUM(B21:B25)</f>
        <v>44</v>
      </c>
      <c r="C26" s="452">
        <f t="shared" ref="C26:F26" si="10">SUM(C21:C25)</f>
        <v>58</v>
      </c>
      <c r="D26" s="452">
        <f t="shared" si="10"/>
        <v>77</v>
      </c>
      <c r="E26" s="452">
        <f t="shared" si="10"/>
        <v>97</v>
      </c>
      <c r="F26" s="452">
        <f t="shared" si="10"/>
        <v>97</v>
      </c>
      <c r="G26" t="s">
        <v>530</v>
      </c>
    </row>
    <row r="27" spans="1:12">
      <c r="A27" t="s">
        <v>497</v>
      </c>
      <c r="B27" s="453">
        <f>B26/B18</f>
        <v>0.14666666666666667</v>
      </c>
      <c r="C27" s="453">
        <f t="shared" ref="C27:F27" si="11">C26/C18</f>
        <v>0.14499999999999999</v>
      </c>
      <c r="D27" s="453">
        <f t="shared" si="11"/>
        <v>0.154</v>
      </c>
      <c r="E27" s="453">
        <f t="shared" si="11"/>
        <v>0.16166666666666665</v>
      </c>
      <c r="F27" s="453">
        <f t="shared" si="11"/>
        <v>0.16166666666666665</v>
      </c>
      <c r="G27" t="s">
        <v>531</v>
      </c>
      <c r="H27">
        <v>0</v>
      </c>
      <c r="I27">
        <v>0</v>
      </c>
      <c r="J27">
        <v>0</v>
      </c>
      <c r="K27">
        <v>1</v>
      </c>
      <c r="L27">
        <v>1</v>
      </c>
    </row>
    <row r="28" spans="1:12">
      <c r="A28" t="s">
        <v>398</v>
      </c>
      <c r="G28" t="s">
        <v>532</v>
      </c>
      <c r="H28">
        <v>0</v>
      </c>
      <c r="I28">
        <v>0</v>
      </c>
      <c r="J28">
        <v>0</v>
      </c>
      <c r="K28">
        <v>5</v>
      </c>
      <c r="L28">
        <v>5</v>
      </c>
    </row>
    <row r="29" spans="1:12">
      <c r="A29" t="s">
        <v>399</v>
      </c>
      <c r="B29" s="452">
        <v>20</v>
      </c>
      <c r="C29" s="452">
        <v>25</v>
      </c>
      <c r="D29" s="452">
        <v>30</v>
      </c>
      <c r="E29" s="452">
        <v>35</v>
      </c>
      <c r="F29" s="452">
        <v>35</v>
      </c>
      <c r="G29" t="s">
        <v>533</v>
      </c>
      <c r="H29">
        <v>2</v>
      </c>
      <c r="I29">
        <v>5</v>
      </c>
      <c r="J29">
        <v>5</v>
      </c>
      <c r="K29">
        <v>5</v>
      </c>
      <c r="L29">
        <v>5</v>
      </c>
    </row>
    <row r="30" spans="1:12">
      <c r="A30" t="s">
        <v>371</v>
      </c>
      <c r="B30" s="452">
        <v>10</v>
      </c>
      <c r="C30" s="452">
        <v>12</v>
      </c>
      <c r="D30" s="452">
        <v>14</v>
      </c>
      <c r="E30" s="452">
        <v>16</v>
      </c>
      <c r="F30" s="452">
        <v>16</v>
      </c>
      <c r="G30" t="s">
        <v>534</v>
      </c>
      <c r="H30">
        <v>0</v>
      </c>
      <c r="I30">
        <v>4</v>
      </c>
      <c r="J30">
        <v>4</v>
      </c>
      <c r="K30">
        <v>6</v>
      </c>
      <c r="L30">
        <v>6</v>
      </c>
    </row>
    <row r="31" spans="1:12">
      <c r="A31" t="s">
        <v>372</v>
      </c>
      <c r="B31" s="452">
        <v>10</v>
      </c>
      <c r="C31" s="452">
        <v>10</v>
      </c>
      <c r="D31" s="452">
        <v>10</v>
      </c>
      <c r="E31" s="452">
        <v>10</v>
      </c>
      <c r="F31" s="452">
        <v>10</v>
      </c>
      <c r="G31" t="s">
        <v>535</v>
      </c>
      <c r="H31">
        <v>2</v>
      </c>
      <c r="I31">
        <v>2</v>
      </c>
      <c r="J31">
        <v>2</v>
      </c>
      <c r="K31">
        <v>2</v>
      </c>
      <c r="L31">
        <v>2</v>
      </c>
    </row>
    <row r="32" spans="1:12">
      <c r="A32" t="s">
        <v>312</v>
      </c>
      <c r="B32" s="452">
        <f>SUM(B29:B31)</f>
        <v>40</v>
      </c>
      <c r="C32" s="452">
        <f t="shared" ref="C32:F32" si="12">SUM(C29:C31)</f>
        <v>47</v>
      </c>
      <c r="D32" s="452">
        <f t="shared" si="12"/>
        <v>54</v>
      </c>
      <c r="E32" s="452">
        <f t="shared" si="12"/>
        <v>61</v>
      </c>
      <c r="F32" s="452">
        <f t="shared" si="12"/>
        <v>61</v>
      </c>
      <c r="G32" t="s">
        <v>536</v>
      </c>
      <c r="H32">
        <v>2</v>
      </c>
      <c r="I32">
        <v>3</v>
      </c>
      <c r="J32">
        <v>4</v>
      </c>
      <c r="K32">
        <v>4</v>
      </c>
      <c r="L32">
        <v>4</v>
      </c>
    </row>
    <row r="33" spans="1:12">
      <c r="G33" t="s">
        <v>537</v>
      </c>
      <c r="H33">
        <v>1</v>
      </c>
      <c r="I33">
        <v>1</v>
      </c>
      <c r="J33">
        <v>1</v>
      </c>
      <c r="K33">
        <v>1</v>
      </c>
      <c r="L33">
        <v>1</v>
      </c>
    </row>
    <row r="34" spans="1:12">
      <c r="G34" t="s">
        <v>538</v>
      </c>
      <c r="H34">
        <v>2</v>
      </c>
      <c r="I34">
        <v>2</v>
      </c>
      <c r="J34">
        <v>4</v>
      </c>
      <c r="K34">
        <v>6</v>
      </c>
      <c r="L34">
        <v>6</v>
      </c>
    </row>
    <row r="35" spans="1:12">
      <c r="B35" s="343" t="s">
        <v>401</v>
      </c>
      <c r="C35" s="344">
        <v>0</v>
      </c>
      <c r="G35" t="s">
        <v>539</v>
      </c>
      <c r="H35">
        <v>1.02</v>
      </c>
      <c r="I35">
        <v>1.02</v>
      </c>
      <c r="J35">
        <v>1.02</v>
      </c>
      <c r="K35">
        <v>1.02</v>
      </c>
      <c r="L35">
        <v>1.02</v>
      </c>
    </row>
    <row r="36" spans="1:12">
      <c r="G36" t="s">
        <v>531</v>
      </c>
      <c r="H36">
        <v>60000</v>
      </c>
      <c r="I36">
        <f>ROUND(H36*$I$35,0)</f>
        <v>61200</v>
      </c>
      <c r="J36">
        <f t="shared" ref="J36:L36" si="13">ROUND(I36*$I$35,0)</f>
        <v>62424</v>
      </c>
      <c r="K36">
        <f t="shared" si="13"/>
        <v>63672</v>
      </c>
      <c r="L36">
        <f t="shared" si="13"/>
        <v>64945</v>
      </c>
    </row>
    <row r="37" spans="1:12" ht="64">
      <c r="A37" s="345"/>
      <c r="B37" s="345"/>
      <c r="D37" s="346" t="s">
        <v>492</v>
      </c>
      <c r="G37" t="s">
        <v>532</v>
      </c>
      <c r="H37">
        <v>5000</v>
      </c>
      <c r="I37">
        <f t="shared" ref="I37:L43" si="14">ROUND(H37*$I$35,0)</f>
        <v>5100</v>
      </c>
      <c r="J37">
        <f t="shared" si="14"/>
        <v>5202</v>
      </c>
      <c r="K37">
        <f t="shared" si="14"/>
        <v>5306</v>
      </c>
      <c r="L37">
        <f t="shared" si="14"/>
        <v>5412</v>
      </c>
    </row>
    <row r="38" spans="1:12" ht="15">
      <c r="A38" s="347"/>
      <c r="B38" s="348"/>
      <c r="D38" s="349"/>
      <c r="G38" t="s">
        <v>533</v>
      </c>
      <c r="H38">
        <v>5000</v>
      </c>
      <c r="I38">
        <f t="shared" si="14"/>
        <v>5100</v>
      </c>
      <c r="J38">
        <f t="shared" si="14"/>
        <v>5202</v>
      </c>
      <c r="K38">
        <f t="shared" si="14"/>
        <v>5306</v>
      </c>
      <c r="L38">
        <f t="shared" si="14"/>
        <v>5412</v>
      </c>
    </row>
    <row r="39" spans="1:12" ht="15">
      <c r="A39" s="350" t="s">
        <v>402</v>
      </c>
      <c r="B39" s="345"/>
      <c r="D39" s="351"/>
      <c r="G39" t="s">
        <v>534</v>
      </c>
      <c r="H39">
        <v>4500</v>
      </c>
      <c r="I39">
        <f t="shared" si="14"/>
        <v>4590</v>
      </c>
      <c r="J39">
        <f t="shared" si="14"/>
        <v>4682</v>
      </c>
      <c r="K39">
        <f t="shared" si="14"/>
        <v>4776</v>
      </c>
      <c r="L39">
        <f t="shared" si="14"/>
        <v>4872</v>
      </c>
    </row>
    <row r="40" spans="1:12" ht="15">
      <c r="A40" s="350"/>
      <c r="B40" s="352" t="s">
        <v>403</v>
      </c>
      <c r="D40" s="353"/>
      <c r="G40" t="s">
        <v>535</v>
      </c>
      <c r="H40">
        <v>4000</v>
      </c>
      <c r="I40">
        <f t="shared" si="14"/>
        <v>4080</v>
      </c>
      <c r="J40">
        <f t="shared" si="14"/>
        <v>4162</v>
      </c>
      <c r="K40">
        <f t="shared" si="14"/>
        <v>4245</v>
      </c>
      <c r="L40">
        <f t="shared" si="14"/>
        <v>4330</v>
      </c>
    </row>
    <row r="41" spans="1:12" ht="15">
      <c r="A41" s="345"/>
      <c r="B41" s="354" t="s">
        <v>404</v>
      </c>
      <c r="D41" s="355">
        <f>5377</f>
        <v>5377</v>
      </c>
      <c r="G41" t="s">
        <v>536</v>
      </c>
      <c r="H41">
        <v>4000</v>
      </c>
      <c r="I41">
        <f t="shared" si="14"/>
        <v>4080</v>
      </c>
      <c r="J41">
        <f t="shared" si="14"/>
        <v>4162</v>
      </c>
      <c r="K41">
        <f t="shared" si="14"/>
        <v>4245</v>
      </c>
      <c r="L41">
        <f t="shared" si="14"/>
        <v>4330</v>
      </c>
    </row>
    <row r="42" spans="1:12" ht="15">
      <c r="A42" s="345"/>
      <c r="B42" s="354" t="s">
        <v>405</v>
      </c>
      <c r="D42" s="355">
        <v>205</v>
      </c>
      <c r="G42" t="s">
        <v>537</v>
      </c>
      <c r="H42">
        <v>50000</v>
      </c>
      <c r="I42">
        <f t="shared" si="14"/>
        <v>51000</v>
      </c>
      <c r="J42">
        <f t="shared" si="14"/>
        <v>52020</v>
      </c>
      <c r="K42">
        <f t="shared" si="14"/>
        <v>53060</v>
      </c>
      <c r="L42">
        <f t="shared" si="14"/>
        <v>54121</v>
      </c>
    </row>
    <row r="43" spans="1:12" ht="15">
      <c r="A43" s="345"/>
      <c r="B43" s="354" t="s">
        <v>406</v>
      </c>
      <c r="D43" s="355">
        <v>818</v>
      </c>
      <c r="G43" t="s">
        <v>538</v>
      </c>
      <c r="H43">
        <v>4000</v>
      </c>
      <c r="I43">
        <f t="shared" si="14"/>
        <v>4080</v>
      </c>
      <c r="J43">
        <f t="shared" si="14"/>
        <v>4162</v>
      </c>
      <c r="K43">
        <f t="shared" si="14"/>
        <v>4245</v>
      </c>
      <c r="L43">
        <f t="shared" si="14"/>
        <v>4330</v>
      </c>
    </row>
    <row r="44" spans="1:12" ht="15">
      <c r="A44" s="345"/>
      <c r="B44" s="354" t="s">
        <v>407</v>
      </c>
      <c r="D44" s="355">
        <v>746.03320561941257</v>
      </c>
    </row>
    <row r="45" spans="1:12" ht="15">
      <c r="A45" s="345"/>
      <c r="B45" s="354" t="s">
        <v>408</v>
      </c>
      <c r="D45" s="355">
        <v>1828</v>
      </c>
      <c r="H45">
        <f>(H27*H36)+(H28*H37)+(H29*H38)+(H30*H39)+(H31*H40)+(H32*H41)+(H33*H42)+(H34*H43)</f>
        <v>84000</v>
      </c>
      <c r="I45">
        <f t="shared" ref="I45:L45" si="15">(I27*I36)+(I28*I37)+(I29*I38)+(I30*I39)+(I31*I40)+(I32*I41)+(I33*I42)+(I34*I43)</f>
        <v>123420</v>
      </c>
      <c r="J45">
        <f t="shared" si="15"/>
        <v>138378</v>
      </c>
      <c r="K45">
        <f t="shared" si="15"/>
        <v>249388</v>
      </c>
      <c r="L45">
        <f t="shared" si="15"/>
        <v>254378</v>
      </c>
    </row>
    <row r="46" spans="1:12" ht="15">
      <c r="A46" s="345"/>
      <c r="B46" s="354"/>
      <c r="D46" s="355"/>
    </row>
    <row r="47" spans="1:12" ht="15">
      <c r="A47" s="345"/>
      <c r="B47" s="354"/>
      <c r="D47" s="355"/>
    </row>
    <row r="48" spans="1:12" ht="15">
      <c r="A48" s="345"/>
      <c r="B48" s="356" t="s">
        <v>409</v>
      </c>
      <c r="D48" s="355"/>
    </row>
    <row r="49" spans="1:17" ht="15">
      <c r="A49" s="345"/>
      <c r="B49" s="354" t="s">
        <v>410</v>
      </c>
      <c r="D49" s="355">
        <v>1453.05</v>
      </c>
      <c r="O49">
        <v>600</v>
      </c>
      <c r="P49">
        <v>85</v>
      </c>
      <c r="Q49">
        <f>O49*P49</f>
        <v>51000</v>
      </c>
    </row>
    <row r="50" spans="1:17" ht="15">
      <c r="A50" s="345"/>
      <c r="B50" s="354" t="s">
        <v>411</v>
      </c>
      <c r="D50" s="355">
        <v>8536.64</v>
      </c>
    </row>
    <row r="51" spans="1:17" ht="15">
      <c r="A51" s="345"/>
      <c r="B51" s="354" t="s">
        <v>412</v>
      </c>
      <c r="D51" s="355">
        <v>13622.3</v>
      </c>
    </row>
    <row r="52" spans="1:17" ht="15">
      <c r="A52" s="345"/>
      <c r="B52" s="354" t="s">
        <v>413</v>
      </c>
      <c r="D52" s="355">
        <v>15801.87</v>
      </c>
    </row>
    <row r="53" spans="1:17" ht="15">
      <c r="A53" s="345"/>
      <c r="B53" s="354" t="s">
        <v>414</v>
      </c>
      <c r="D53" s="355">
        <v>21795.68</v>
      </c>
    </row>
    <row r="54" spans="1:17" ht="15">
      <c r="A54" s="345"/>
      <c r="B54" s="354" t="s">
        <v>415</v>
      </c>
      <c r="D54" s="355">
        <v>363.26</v>
      </c>
    </row>
    <row r="55" spans="1:17" ht="15">
      <c r="A55" s="345"/>
      <c r="B55" s="354" t="s">
        <v>371</v>
      </c>
      <c r="D55" s="355">
        <v>2179.5700000000002</v>
      </c>
    </row>
    <row r="56" spans="1:17" ht="15">
      <c r="A56" s="345"/>
      <c r="B56" s="354" t="s">
        <v>416</v>
      </c>
      <c r="D56" s="355">
        <v>1634.68</v>
      </c>
    </row>
    <row r="57" spans="1:17" ht="15">
      <c r="A57" s="345"/>
      <c r="B57" s="354" t="s">
        <v>496</v>
      </c>
      <c r="D57" s="355">
        <v>300</v>
      </c>
    </row>
    <row r="58" spans="1:17" ht="15">
      <c r="A58" s="345"/>
      <c r="B58" s="356" t="s">
        <v>417</v>
      </c>
      <c r="D58" s="355"/>
    </row>
    <row r="59" spans="1:17" ht="15">
      <c r="A59" s="345"/>
      <c r="B59" s="354" t="s">
        <v>418</v>
      </c>
      <c r="D59" s="355">
        <f>562910/792</f>
        <v>710.74494949494954</v>
      </c>
    </row>
    <row r="60" spans="1:17" ht="15">
      <c r="A60" s="345"/>
      <c r="B60" s="354" t="s">
        <v>419</v>
      </c>
      <c r="D60" s="355">
        <f>26417/792</f>
        <v>33.354797979797979</v>
      </c>
    </row>
    <row r="61" spans="1:17" ht="15">
      <c r="A61" s="345"/>
      <c r="B61" s="354" t="s">
        <v>420</v>
      </c>
      <c r="D61" s="355">
        <f>158577/792</f>
        <v>200.22348484848484</v>
      </c>
    </row>
    <row r="62" spans="1:17" ht="15">
      <c r="A62" s="345"/>
      <c r="B62" s="354"/>
      <c r="D62" s="351"/>
    </row>
    <row r="63" spans="1:17" ht="15">
      <c r="A63" s="345"/>
      <c r="B63" s="356" t="s">
        <v>421</v>
      </c>
      <c r="D63" s="355"/>
    </row>
    <row r="64" spans="1:17" ht="15">
      <c r="A64" s="345"/>
      <c r="B64" s="345" t="s">
        <v>422</v>
      </c>
      <c r="D64" s="355">
        <v>950</v>
      </c>
    </row>
    <row r="65" spans="1:4" ht="15">
      <c r="A65" s="345"/>
      <c r="B65" s="357" t="s">
        <v>498</v>
      </c>
      <c r="D65" s="355">
        <v>15</v>
      </c>
    </row>
    <row r="66" spans="1:4" ht="15">
      <c r="A66" s="345"/>
      <c r="B66" s="345" t="s">
        <v>423</v>
      </c>
      <c r="D66" s="355">
        <v>45</v>
      </c>
    </row>
    <row r="67" spans="1:4" ht="15">
      <c r="A67" s="345"/>
      <c r="B67" s="357" t="s">
        <v>424</v>
      </c>
      <c r="D67" s="355">
        <v>4504</v>
      </c>
    </row>
    <row r="68" spans="1:4" ht="15">
      <c r="A68" s="345"/>
      <c r="B68" s="345"/>
      <c r="D68" s="355"/>
    </row>
    <row r="69" spans="1:4" ht="15">
      <c r="A69" s="350" t="s">
        <v>425</v>
      </c>
      <c r="B69" s="345"/>
      <c r="D69" s="358"/>
    </row>
    <row r="70" spans="1:4" ht="15">
      <c r="A70" s="350"/>
      <c r="B70" s="352" t="s">
        <v>426</v>
      </c>
      <c r="D70" s="351"/>
    </row>
    <row r="71" spans="1:4" ht="15">
      <c r="A71" s="345"/>
      <c r="B71" s="345" t="s">
        <v>427</v>
      </c>
      <c r="D71" s="355">
        <f t="shared" ref="D71:D72" si="16">C71*(1+$C$9)</f>
        <v>0</v>
      </c>
    </row>
    <row r="72" spans="1:4" ht="15">
      <c r="A72" s="345"/>
      <c r="B72" s="345" t="s">
        <v>428</v>
      </c>
      <c r="D72" s="355">
        <f t="shared" si="16"/>
        <v>0</v>
      </c>
    </row>
    <row r="73" spans="1:4" ht="15">
      <c r="A73" s="345"/>
      <c r="B73" s="356" t="s">
        <v>429</v>
      </c>
      <c r="D73" s="349"/>
    </row>
    <row r="74" spans="1:4" ht="15">
      <c r="A74" s="345"/>
      <c r="B74" s="357" t="s">
        <v>430</v>
      </c>
      <c r="D74" s="355">
        <v>0</v>
      </c>
    </row>
    <row r="75" spans="1:4" ht="15">
      <c r="A75" s="345"/>
      <c r="B75" s="357" t="s">
        <v>431</v>
      </c>
      <c r="D75" s="355">
        <f t="shared" ref="D75:D81" si="17">C75*(1+$C$9)</f>
        <v>0</v>
      </c>
    </row>
    <row r="76" spans="1:4" ht="15">
      <c r="A76" s="345"/>
      <c r="B76" s="357" t="s">
        <v>432</v>
      </c>
      <c r="D76" s="355">
        <f t="shared" si="17"/>
        <v>0</v>
      </c>
    </row>
    <row r="77" spans="1:4" ht="15">
      <c r="A77" s="345"/>
      <c r="B77" s="357" t="s">
        <v>433</v>
      </c>
      <c r="D77" s="355">
        <v>0</v>
      </c>
    </row>
    <row r="78" spans="1:4" ht="15">
      <c r="A78" s="345"/>
      <c r="B78" s="357" t="s">
        <v>434</v>
      </c>
      <c r="D78" s="355">
        <v>0</v>
      </c>
    </row>
    <row r="79" spans="1:4" ht="15">
      <c r="A79" s="345"/>
      <c r="B79" s="357" t="s">
        <v>435</v>
      </c>
      <c r="D79" s="355">
        <v>15</v>
      </c>
    </row>
    <row r="80" spans="1:4" ht="15">
      <c r="A80" s="345"/>
      <c r="B80" s="357" t="s">
        <v>436</v>
      </c>
      <c r="D80" s="355">
        <v>13</v>
      </c>
    </row>
    <row r="81" spans="1:4" ht="15">
      <c r="A81" s="345"/>
      <c r="B81" s="359" t="s">
        <v>437</v>
      </c>
      <c r="D81" s="355">
        <f t="shared" si="17"/>
        <v>0</v>
      </c>
    </row>
    <row r="82" spans="1:4" ht="15">
      <c r="A82" s="345"/>
      <c r="B82" s="354"/>
      <c r="D82" s="355"/>
    </row>
    <row r="83" spans="1:4" ht="15">
      <c r="A83" s="345"/>
      <c r="B83" s="354"/>
      <c r="D83" s="355"/>
    </row>
    <row r="84" spans="1:4" ht="15">
      <c r="A84" s="345"/>
      <c r="B84" s="354"/>
      <c r="D84" s="355"/>
    </row>
    <row r="85" spans="1:4" ht="15">
      <c r="A85" s="345"/>
      <c r="B85" s="354"/>
      <c r="D85" s="355"/>
    </row>
    <row r="86" spans="1:4" ht="15">
      <c r="A86" s="345"/>
      <c r="B86" s="354"/>
      <c r="D86" s="355"/>
    </row>
    <row r="87" spans="1:4" ht="15">
      <c r="A87" s="345"/>
      <c r="B87" s="354"/>
      <c r="D87" s="355"/>
    </row>
    <row r="88" spans="1:4" ht="15">
      <c r="A88" s="345"/>
      <c r="B88" s="354"/>
      <c r="D88" s="355"/>
    </row>
    <row r="89" spans="1:4" ht="15">
      <c r="A89" s="345"/>
      <c r="B89" s="345"/>
      <c r="D89" s="355"/>
    </row>
    <row r="90" spans="1:4" ht="15">
      <c r="A90" s="345"/>
      <c r="B90" s="345"/>
      <c r="D90" s="35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topLeftCell="A15" workbookViewId="0">
      <selection activeCell="M25" sqref="M25"/>
    </sheetView>
  </sheetViews>
  <sheetFormatPr baseColWidth="10" defaultColWidth="10.83203125" defaultRowHeight="13"/>
  <cols>
    <col min="1" max="1" width="13.6640625" style="361" customWidth="1"/>
    <col min="2" max="2" width="14" customWidth="1"/>
    <col min="3" max="3" width="12" customWidth="1"/>
    <col min="5" max="5" width="10.83203125" style="442"/>
    <col min="7" max="7" width="10.83203125" style="442"/>
    <col min="9" max="9" width="10.83203125" style="442"/>
    <col min="14" max="14" width="12.1640625" bestFit="1" customWidth="1"/>
  </cols>
  <sheetData>
    <row r="1" spans="1:14" ht="28">
      <c r="C1" t="s">
        <v>439</v>
      </c>
      <c r="D1" s="360" t="s">
        <v>447</v>
      </c>
      <c r="E1" s="442" t="s">
        <v>439</v>
      </c>
      <c r="F1" s="360" t="s">
        <v>448</v>
      </c>
      <c r="G1" s="442" t="s">
        <v>439</v>
      </c>
      <c r="H1" s="360" t="s">
        <v>449</v>
      </c>
      <c r="I1" s="442" t="s">
        <v>439</v>
      </c>
      <c r="J1" s="360" t="s">
        <v>450</v>
      </c>
      <c r="K1" t="s">
        <v>439</v>
      </c>
      <c r="L1" s="360" t="s">
        <v>451</v>
      </c>
    </row>
    <row r="2" spans="1:14" ht="56">
      <c r="A2" s="361" t="s">
        <v>441</v>
      </c>
      <c r="B2" t="s">
        <v>117</v>
      </c>
      <c r="C2" s="364">
        <v>49747</v>
      </c>
      <c r="D2">
        <f>Assumptions!H19</f>
        <v>16</v>
      </c>
      <c r="E2" s="442">
        <f>C2*1.025</f>
        <v>50990.674999999996</v>
      </c>
      <c r="F2">
        <f>Assumptions!I19</f>
        <v>21</v>
      </c>
      <c r="G2" s="442">
        <f>E2*1.025</f>
        <v>52265.44187499999</v>
      </c>
      <c r="H2">
        <f>Assumptions!J19</f>
        <v>27</v>
      </c>
      <c r="I2" s="442">
        <f t="shared" ref="I2:K4" si="0">G2*1.025</f>
        <v>53572.077921874981</v>
      </c>
      <c r="J2">
        <f>Assumptions!K19</f>
        <v>32</v>
      </c>
      <c r="K2" s="442">
        <f t="shared" si="0"/>
        <v>54911.379869921853</v>
      </c>
      <c r="L2">
        <f>Assumptions!L19</f>
        <v>32</v>
      </c>
      <c r="N2" s="456"/>
    </row>
    <row r="3" spans="1:14">
      <c r="B3" t="s">
        <v>440</v>
      </c>
      <c r="C3" s="364">
        <v>36997</v>
      </c>
      <c r="D3">
        <v>0</v>
      </c>
      <c r="E3" s="442">
        <f t="shared" ref="E3:E4" si="1">C3*1.025</f>
        <v>37921.924999999996</v>
      </c>
      <c r="F3">
        <v>1</v>
      </c>
      <c r="G3" s="442">
        <f t="shared" ref="G3:G4" si="2">E3*1.025</f>
        <v>38869.97312499999</v>
      </c>
      <c r="H3">
        <v>4</v>
      </c>
      <c r="I3" s="442">
        <f t="shared" si="0"/>
        <v>39841.722453124989</v>
      </c>
      <c r="J3">
        <v>5</v>
      </c>
      <c r="K3" s="442">
        <f t="shared" si="0"/>
        <v>40837.765514453109</v>
      </c>
      <c r="L3">
        <v>6</v>
      </c>
    </row>
    <row r="4" spans="1:14">
      <c r="B4" t="s">
        <v>78</v>
      </c>
      <c r="C4" s="364">
        <v>28156</v>
      </c>
      <c r="D4">
        <v>0</v>
      </c>
      <c r="E4" s="442">
        <f t="shared" si="1"/>
        <v>28859.899999999998</v>
      </c>
      <c r="F4">
        <v>0</v>
      </c>
      <c r="G4" s="442">
        <f t="shared" si="2"/>
        <v>29581.397499999995</v>
      </c>
      <c r="H4">
        <v>0</v>
      </c>
      <c r="I4" s="442">
        <f t="shared" si="0"/>
        <v>30320.932437499992</v>
      </c>
      <c r="J4">
        <v>0</v>
      </c>
      <c r="K4" s="442">
        <f t="shared" si="0"/>
        <v>31078.955748437489</v>
      </c>
      <c r="L4">
        <v>0</v>
      </c>
    </row>
    <row r="6" spans="1:14" ht="28">
      <c r="A6" s="361" t="s">
        <v>61</v>
      </c>
    </row>
    <row r="7" spans="1:14">
      <c r="B7" t="s">
        <v>117</v>
      </c>
      <c r="C7" s="364">
        <v>47808</v>
      </c>
      <c r="D7">
        <f>SUM(Assumptions!H21,Assumptions!H24)</f>
        <v>4</v>
      </c>
      <c r="E7" s="442">
        <f t="shared" ref="E7:E10" si="3">C7*1.025</f>
        <v>49003.199999999997</v>
      </c>
      <c r="F7">
        <f>SUM(Assumptions!I21,Assumptions!I24)</f>
        <v>5</v>
      </c>
      <c r="G7" s="442">
        <f t="shared" ref="G7:G10" si="4">E7*1.025</f>
        <v>50228.279999999992</v>
      </c>
      <c r="H7">
        <f>SUM(Assumptions!J21,Assumptions!J24)</f>
        <v>6</v>
      </c>
      <c r="I7" s="442">
        <f t="shared" ref="I7:I10" si="5">G7*1.025</f>
        <v>51483.986999999986</v>
      </c>
      <c r="J7">
        <f>SUM(Assumptions!K21,Assumptions!K24)</f>
        <v>8</v>
      </c>
      <c r="K7" s="442">
        <f t="shared" ref="K7:K10" si="6">I7*1.025</f>
        <v>52771.086674999984</v>
      </c>
      <c r="L7">
        <f>SUM(Assumptions!L21,Assumptions!L24)</f>
        <v>8</v>
      </c>
    </row>
    <row r="8" spans="1:14">
      <c r="B8" t="s">
        <v>442</v>
      </c>
      <c r="C8" s="364">
        <v>52910</v>
      </c>
      <c r="D8">
        <v>1</v>
      </c>
      <c r="E8" s="442">
        <f t="shared" si="3"/>
        <v>54232.749999999993</v>
      </c>
      <c r="F8">
        <v>1</v>
      </c>
      <c r="G8" s="442">
        <f t="shared" si="4"/>
        <v>55588.568749999991</v>
      </c>
      <c r="H8">
        <v>1</v>
      </c>
      <c r="I8" s="442">
        <f t="shared" si="5"/>
        <v>56978.282968749983</v>
      </c>
      <c r="J8">
        <v>1</v>
      </c>
      <c r="K8" s="442">
        <f t="shared" si="6"/>
        <v>58402.740042968726</v>
      </c>
      <c r="L8">
        <v>1</v>
      </c>
    </row>
    <row r="9" spans="1:14">
      <c r="B9" t="s">
        <v>440</v>
      </c>
      <c r="C9" s="364">
        <v>35800</v>
      </c>
      <c r="D9">
        <v>0</v>
      </c>
      <c r="E9" s="442">
        <f t="shared" si="3"/>
        <v>36695</v>
      </c>
      <c r="F9">
        <v>0</v>
      </c>
      <c r="G9" s="442">
        <f t="shared" si="4"/>
        <v>37612.375</v>
      </c>
      <c r="H9">
        <v>0</v>
      </c>
      <c r="I9" s="442">
        <f t="shared" si="5"/>
        <v>38552.684374999997</v>
      </c>
      <c r="J9">
        <v>0</v>
      </c>
      <c r="K9" s="442">
        <f t="shared" si="6"/>
        <v>39516.501484374996</v>
      </c>
      <c r="L9">
        <v>0</v>
      </c>
    </row>
    <row r="10" spans="1:14">
      <c r="B10" t="s">
        <v>78</v>
      </c>
      <c r="C10" s="364">
        <v>27004</v>
      </c>
      <c r="D10">
        <v>2</v>
      </c>
      <c r="E10" s="442">
        <f t="shared" si="3"/>
        <v>27679.1</v>
      </c>
      <c r="F10">
        <v>2</v>
      </c>
      <c r="G10" s="442">
        <f t="shared" si="4"/>
        <v>28371.077499999996</v>
      </c>
      <c r="H10">
        <v>2</v>
      </c>
      <c r="I10" s="442">
        <f t="shared" si="5"/>
        <v>29080.354437499995</v>
      </c>
      <c r="J10">
        <v>2</v>
      </c>
      <c r="K10" s="442">
        <f t="shared" si="6"/>
        <v>29807.363298437493</v>
      </c>
      <c r="L10">
        <v>2</v>
      </c>
    </row>
    <row r="12" spans="1:14" ht="28">
      <c r="A12" s="361" t="s">
        <v>444</v>
      </c>
    </row>
    <row r="13" spans="1:14" ht="60">
      <c r="B13" s="362" t="s">
        <v>522</v>
      </c>
      <c r="C13" s="364">
        <v>52000</v>
      </c>
      <c r="D13">
        <v>1</v>
      </c>
      <c r="E13" s="442">
        <f t="shared" ref="E13:E16" si="7">C13*1.025</f>
        <v>53299.999999999993</v>
      </c>
      <c r="F13">
        <v>1</v>
      </c>
      <c r="G13" s="442">
        <f t="shared" ref="G13:G16" si="8">E13*1.025</f>
        <v>54632.499999999985</v>
      </c>
      <c r="H13">
        <v>1</v>
      </c>
      <c r="I13" s="442">
        <f t="shared" ref="I13:I16" si="9">G13*1.025</f>
        <v>55998.312499999978</v>
      </c>
      <c r="J13">
        <v>1</v>
      </c>
      <c r="K13" s="442">
        <f t="shared" ref="K13:K16" si="10">I13*1.025</f>
        <v>57398.270312499975</v>
      </c>
      <c r="L13">
        <v>1</v>
      </c>
      <c r="M13" s="454"/>
    </row>
    <row r="14" spans="1:14" ht="42">
      <c r="B14" s="362" t="s">
        <v>8</v>
      </c>
      <c r="C14" s="364">
        <v>55000</v>
      </c>
      <c r="D14">
        <v>1</v>
      </c>
      <c r="E14" s="442">
        <f t="shared" si="7"/>
        <v>56374.999999999993</v>
      </c>
      <c r="F14">
        <v>1</v>
      </c>
      <c r="G14" s="442">
        <f t="shared" si="8"/>
        <v>57784.374999999985</v>
      </c>
      <c r="H14">
        <v>1</v>
      </c>
      <c r="I14" s="442">
        <f t="shared" si="9"/>
        <v>59228.984374999978</v>
      </c>
      <c r="J14">
        <v>1</v>
      </c>
      <c r="K14" s="442">
        <f t="shared" si="10"/>
        <v>60709.708984374971</v>
      </c>
      <c r="L14">
        <v>1</v>
      </c>
    </row>
    <row r="15" spans="1:14" ht="27">
      <c r="B15" s="362" t="s">
        <v>282</v>
      </c>
      <c r="C15" s="364">
        <v>56106</v>
      </c>
      <c r="D15">
        <v>1</v>
      </c>
      <c r="E15" s="442">
        <f t="shared" si="7"/>
        <v>57508.649999999994</v>
      </c>
      <c r="F15">
        <v>1</v>
      </c>
      <c r="G15" s="442">
        <f t="shared" si="8"/>
        <v>58946.366249999992</v>
      </c>
      <c r="H15">
        <v>1</v>
      </c>
      <c r="I15" s="442">
        <f t="shared" si="9"/>
        <v>60420.025406249988</v>
      </c>
      <c r="J15">
        <v>1</v>
      </c>
      <c r="K15" s="442">
        <f t="shared" si="10"/>
        <v>61930.526041406236</v>
      </c>
      <c r="L15">
        <v>1</v>
      </c>
    </row>
    <row r="16" spans="1:14" ht="60">
      <c r="B16" s="362" t="s">
        <v>120</v>
      </c>
      <c r="C16" s="364">
        <v>71812</v>
      </c>
      <c r="D16">
        <v>1</v>
      </c>
      <c r="E16" s="442">
        <f t="shared" si="7"/>
        <v>73607.299999999988</v>
      </c>
      <c r="F16">
        <v>1</v>
      </c>
      <c r="G16" s="442">
        <f t="shared" si="8"/>
        <v>75447.482499999984</v>
      </c>
      <c r="H16">
        <v>1</v>
      </c>
      <c r="I16" s="442">
        <f t="shared" si="9"/>
        <v>77333.66956249997</v>
      </c>
      <c r="J16">
        <v>1</v>
      </c>
      <c r="K16" s="442">
        <f t="shared" si="10"/>
        <v>79267.011301562467</v>
      </c>
      <c r="L16">
        <v>1</v>
      </c>
    </row>
    <row r="18" spans="1:13" ht="28">
      <c r="A18" s="361" t="s">
        <v>445</v>
      </c>
    </row>
    <row r="19" spans="1:13" ht="90">
      <c r="B19" s="362" t="s">
        <v>520</v>
      </c>
      <c r="C19" s="364">
        <v>87000</v>
      </c>
      <c r="D19">
        <v>1</v>
      </c>
      <c r="E19" s="442">
        <f>C19*1.025</f>
        <v>89174.999999999985</v>
      </c>
      <c r="F19">
        <v>1</v>
      </c>
      <c r="G19" s="442">
        <f t="shared" ref="G19:G20" si="11">E19*1.025</f>
        <v>91404.374999999971</v>
      </c>
      <c r="H19">
        <v>1</v>
      </c>
      <c r="I19" s="442">
        <f t="shared" ref="I19:I20" si="12">G19*1.025</f>
        <v>93689.484374999956</v>
      </c>
      <c r="J19">
        <v>1</v>
      </c>
      <c r="K19" s="442">
        <f t="shared" ref="K19:K20" si="13">I19*1.025</f>
        <v>96031.721484374953</v>
      </c>
      <c r="L19">
        <v>1</v>
      </c>
      <c r="M19" t="s">
        <v>523</v>
      </c>
    </row>
    <row r="20" spans="1:13" ht="90">
      <c r="B20" s="362" t="s">
        <v>524</v>
      </c>
      <c r="C20" s="364">
        <v>52500</v>
      </c>
      <c r="D20">
        <v>2</v>
      </c>
      <c r="E20" s="442">
        <f>C20*1.025</f>
        <v>53812.499999999993</v>
      </c>
      <c r="F20">
        <v>2</v>
      </c>
      <c r="G20" s="442">
        <f t="shared" si="11"/>
        <v>55157.812499999985</v>
      </c>
      <c r="H20">
        <v>2</v>
      </c>
      <c r="I20" s="442">
        <f t="shared" si="12"/>
        <v>56536.757812499978</v>
      </c>
      <c r="J20">
        <v>2</v>
      </c>
      <c r="K20" s="442">
        <f t="shared" si="13"/>
        <v>57950.176757812471</v>
      </c>
      <c r="L20">
        <v>2</v>
      </c>
      <c r="M20" s="454"/>
    </row>
    <row r="21" spans="1:13">
      <c r="M21" s="454"/>
    </row>
    <row r="22" spans="1:13" ht="28">
      <c r="A22" s="361" t="s">
        <v>446</v>
      </c>
    </row>
    <row r="23" spans="1:13" ht="30">
      <c r="B23" s="362" t="s">
        <v>493</v>
      </c>
      <c r="C23" s="364">
        <v>140000</v>
      </c>
      <c r="D23">
        <v>1</v>
      </c>
      <c r="E23" s="442">
        <f t="shared" ref="E23:E25" si="14">C23*1.025</f>
        <v>143500</v>
      </c>
      <c r="F23">
        <v>1</v>
      </c>
      <c r="G23" s="442">
        <f t="shared" ref="G23:G25" si="15">E23*1.025</f>
        <v>147087.5</v>
      </c>
      <c r="H23">
        <v>1</v>
      </c>
      <c r="I23" s="442">
        <f>G23*1.025</f>
        <v>150764.6875</v>
      </c>
      <c r="J23">
        <v>1</v>
      </c>
      <c r="K23" s="442">
        <f t="shared" ref="K23:K25" si="16">I23*1.025</f>
        <v>154533.8046875</v>
      </c>
      <c r="L23">
        <v>1</v>
      </c>
    </row>
    <row r="24" spans="1:13" ht="60">
      <c r="B24" s="362" t="s">
        <v>494</v>
      </c>
      <c r="C24" s="364">
        <v>70000</v>
      </c>
      <c r="D24">
        <v>3</v>
      </c>
      <c r="E24" s="442">
        <f t="shared" si="14"/>
        <v>71750</v>
      </c>
      <c r="F24">
        <v>3</v>
      </c>
      <c r="G24" s="442">
        <f t="shared" si="15"/>
        <v>73543.75</v>
      </c>
      <c r="H24">
        <v>3</v>
      </c>
      <c r="I24" s="442">
        <f t="shared" ref="I24:I25" si="17">G24*1.025</f>
        <v>75382.34375</v>
      </c>
      <c r="J24">
        <v>3</v>
      </c>
      <c r="K24" s="442">
        <f t="shared" si="16"/>
        <v>77266.90234375</v>
      </c>
      <c r="L24">
        <v>3</v>
      </c>
      <c r="M24" s="454" t="s">
        <v>555</v>
      </c>
    </row>
    <row r="25" spans="1:13" ht="30">
      <c r="B25" s="362" t="s">
        <v>495</v>
      </c>
      <c r="C25" s="364">
        <v>35703</v>
      </c>
      <c r="D25">
        <v>1</v>
      </c>
      <c r="E25" s="442">
        <f t="shared" si="14"/>
        <v>36595.574999999997</v>
      </c>
      <c r="F25">
        <v>2</v>
      </c>
      <c r="G25" s="442">
        <f t="shared" si="15"/>
        <v>37510.464374999996</v>
      </c>
      <c r="H25">
        <v>2</v>
      </c>
      <c r="I25" s="442">
        <f t="shared" si="17"/>
        <v>38448.225984374993</v>
      </c>
      <c r="J25">
        <v>2</v>
      </c>
      <c r="K25" s="442">
        <f t="shared" si="16"/>
        <v>39409.431633984364</v>
      </c>
      <c r="L25">
        <v>2</v>
      </c>
    </row>
    <row r="27" spans="1:13" ht="28">
      <c r="A27" s="361" t="s">
        <v>452</v>
      </c>
    </row>
    <row r="28" spans="1:13" ht="15">
      <c r="B28" s="363" t="s">
        <v>453</v>
      </c>
      <c r="C28" s="364">
        <v>0</v>
      </c>
      <c r="D28">
        <v>1</v>
      </c>
      <c r="E28" s="442">
        <f>C28*1.025</f>
        <v>0</v>
      </c>
      <c r="F28">
        <v>1</v>
      </c>
      <c r="G28" s="442">
        <f>E28*1.025</f>
        <v>0</v>
      </c>
      <c r="H28">
        <v>1</v>
      </c>
      <c r="I28" s="442">
        <f>G28*1.025</f>
        <v>0</v>
      </c>
      <c r="J28">
        <v>1</v>
      </c>
      <c r="K28" s="442">
        <f t="shared" ref="K28" si="18">I28*1.025</f>
        <v>0</v>
      </c>
      <c r="L28">
        <v>1</v>
      </c>
    </row>
    <row r="32" spans="1:13" ht="28">
      <c r="A32" s="361" t="s">
        <v>455</v>
      </c>
      <c r="C32">
        <v>55000</v>
      </c>
      <c r="E32" s="442">
        <v>60000</v>
      </c>
      <c r="G32" s="442">
        <v>85000</v>
      </c>
      <c r="I32" s="442">
        <v>85000</v>
      </c>
      <c r="K32">
        <v>85000</v>
      </c>
    </row>
    <row r="34" spans="1:11" ht="42">
      <c r="A34" s="361" t="s">
        <v>456</v>
      </c>
      <c r="C34">
        <v>900</v>
      </c>
      <c r="E34" s="442">
        <v>900</v>
      </c>
      <c r="G34" s="442">
        <v>900</v>
      </c>
      <c r="I34" s="442">
        <v>900</v>
      </c>
      <c r="K34">
        <v>900</v>
      </c>
    </row>
    <row r="35" spans="1:11">
      <c r="B35" t="s">
        <v>504</v>
      </c>
      <c r="C35">
        <f>Assumptions!B18</f>
        <v>300</v>
      </c>
      <c r="E35" s="442">
        <f>Assumptions!C18</f>
        <v>400</v>
      </c>
      <c r="G35" s="442">
        <f>Assumptions!D18</f>
        <v>500</v>
      </c>
      <c r="I35" s="442">
        <f>Assumptions!E18</f>
        <v>600</v>
      </c>
      <c r="K35">
        <f>Assumptions!F18</f>
        <v>600</v>
      </c>
    </row>
    <row r="36" spans="1:11" ht="14" customHeight="1">
      <c r="A36" s="517" t="s">
        <v>503</v>
      </c>
      <c r="B36">
        <v>50</v>
      </c>
      <c r="C36" s="344">
        <v>0.7</v>
      </c>
      <c r="E36" s="344">
        <v>0.8</v>
      </c>
      <c r="G36" s="344">
        <v>0.8</v>
      </c>
      <c r="I36" s="344">
        <v>0.8</v>
      </c>
      <c r="K36" s="344">
        <v>0.8</v>
      </c>
    </row>
    <row r="37" spans="1:11">
      <c r="A37" s="517"/>
      <c r="B37" t="s">
        <v>505</v>
      </c>
    </row>
    <row r="38" spans="1:11">
      <c r="A38" s="517"/>
      <c r="B38">
        <v>50000</v>
      </c>
      <c r="C38">
        <f>((C35*C36)/B36)*$B$38</f>
        <v>210000</v>
      </c>
      <c r="E38">
        <f>SUM((E35*E36)/B36)*$B$38</f>
        <v>320000</v>
      </c>
      <c r="G38">
        <f>SUM((G35*G36)/B36)*B38</f>
        <v>400000</v>
      </c>
      <c r="I38">
        <f>SUM((I35*I36)/B36)*B38</f>
        <v>480000</v>
      </c>
      <c r="K38">
        <f>ROUND(Assumptions!F18/'Assumptions Expenses'!$B$36,0)*$B$38</f>
        <v>600000</v>
      </c>
    </row>
  </sheetData>
  <mergeCells count="1">
    <mergeCell ref="A36:A3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Startup Statement of Activities</vt:lpstr>
      <vt:lpstr>Yr 1 Operating Statement of Act</vt:lpstr>
      <vt:lpstr>Operating Statement of Act</vt:lpstr>
      <vt:lpstr>Year 1 Cash Flow Projection</vt:lpstr>
      <vt:lpstr>Assumptions</vt:lpstr>
      <vt:lpstr>Assumptions Expenses</vt:lpstr>
      <vt:lpstr>'Startup Statement of Activities'!Print_Area</vt:lpstr>
      <vt:lpstr>'Year 1 Cash Flow Projection'!Print_Area</vt:lpstr>
      <vt:lpstr>'Yr 1 Operating Statement of Act'!Print_Area</vt:lpstr>
      <vt:lpstr>'Operating Statement of Act'!Print_Titles</vt:lpstr>
      <vt:lpstr>'Year 1 Cash Flow Projection'!Print_Titles</vt:lpstr>
      <vt:lpstr>'Yr 1 Operating Statement of Act'!Print_Titles</vt:lpstr>
    </vt:vector>
  </TitlesOfParts>
  <Company>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pmatherne</dc:creator>
  <cp:lastModifiedBy>Joseph Neary</cp:lastModifiedBy>
  <cp:lastPrinted>2015-01-14T16:37:56Z</cp:lastPrinted>
  <dcterms:created xsi:type="dcterms:W3CDTF">2004-02-11T17:37:54Z</dcterms:created>
  <dcterms:modified xsi:type="dcterms:W3CDTF">2018-08-29T20:52:21Z</dcterms:modified>
</cp:coreProperties>
</file>