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SSC\Finance\OPSB application\HS new start\"/>
    </mc:Choice>
  </mc:AlternateContent>
  <bookViews>
    <workbookView xWindow="0" yWindow="0" windowWidth="19200" windowHeight="6765" tabRatio="782" firstSheet="2" activeTab="2"/>
  </bookViews>
  <sheets>
    <sheet name="Instructions" sheetId="1" r:id="rId1"/>
    <sheet name="Startup Statement of Activities" sheetId="3" r:id="rId2"/>
    <sheet name="KIPP Assumptions" sheetId="2" r:id="rId3"/>
    <sheet name="Yr 1 Operating Statement of Act" sheetId="4" r:id="rId4"/>
    <sheet name="Yr 2 Operating Statement of Act" sheetId="9" r:id="rId5"/>
    <sheet name="Yr 3 Operating Statement of Act" sheetId="16" r:id="rId6"/>
    <sheet name="Yr 4 Operating Statement of Act" sheetId="19" r:id="rId7"/>
    <sheet name="Operating Statement of Act" sheetId="5" r:id="rId8"/>
    <sheet name="Year 1 Cash Flow Projection" sheetId="6" r:id="rId9"/>
  </sheets>
  <definedNames>
    <definedName name="_xlnm._FilterDatabase" localSheetId="7" hidden="1">'Operating Statement of Act'!$A$10:$O$401</definedName>
    <definedName name="_xlnm._FilterDatabase" localSheetId="8" hidden="1">'Year 1 Cash Flow Projection'!$A$8:$T$420</definedName>
    <definedName name="_xlnm._FilterDatabase" localSheetId="3" hidden="1">'Yr 1 Operating Statement of Act'!$A$74:$N$400</definedName>
    <definedName name="_xlnm._FilterDatabase" localSheetId="4" hidden="1">'Yr 2 Operating Statement of Act'!$A$74:$N$74</definedName>
    <definedName name="_xlnm._FilterDatabase" localSheetId="5" hidden="1">'Yr 3 Operating Statement of Act'!$A$74:$N$400</definedName>
    <definedName name="_xlnm._FilterDatabase" localSheetId="6" hidden="1">'Yr 4 Operating Statement of Act'!$A$74:$N$400</definedName>
    <definedName name="Z_40BC2F83_0811_4ECE_99F8_980F9280326A_.wvu.FilterData" localSheetId="7" hidden="1">'Operating Statement of Act'!$A$10:$O$401</definedName>
    <definedName name="Z_40BC2F83_0811_4ECE_99F8_980F9280326A_.wvu.FilterData" localSheetId="8" hidden="1">'Year 1 Cash Flow Projection'!$A$8:$T$420</definedName>
    <definedName name="Z_40BC2F83_0811_4ECE_99F8_980F9280326A_.wvu.FilterData" localSheetId="3" hidden="1">'Yr 1 Operating Statement of Act'!$A$74:$N$400</definedName>
    <definedName name="Z_40BC2F83_0811_4ECE_99F8_980F9280326A_.wvu.FilterData" localSheetId="4" hidden="1">'Yr 2 Operating Statement of Act'!$A$74:$N$400</definedName>
    <definedName name="Z_40BC2F83_0811_4ECE_99F8_980F9280326A_.wvu.FilterData" localSheetId="5" hidden="1">'Yr 3 Operating Statement of Act'!$A$74:$N$400</definedName>
    <definedName name="Z_40BC2F83_0811_4ECE_99F8_980F9280326A_.wvu.FilterData" localSheetId="6" hidden="1">'Yr 4 Operating Statement of Act'!$A$74:$N$400</definedName>
    <definedName name="Z_FF09F429_7712_42C4_8E8D_F960CD33567E_.wvu.FilterData" localSheetId="7" hidden="1">'Operating Statement of Act'!$A$10:$O$401</definedName>
    <definedName name="Z_FF09F429_7712_42C4_8E8D_F960CD33567E_.wvu.FilterData" localSheetId="8" hidden="1">'Year 1 Cash Flow Projection'!$A$8:$T$420</definedName>
    <definedName name="Z_FF09F429_7712_42C4_8E8D_F960CD33567E_.wvu.FilterData" localSheetId="3" hidden="1">'Yr 1 Operating Statement of Act'!$A$74:$N$400</definedName>
    <definedName name="Z_FF09F429_7712_42C4_8E8D_F960CD33567E_.wvu.FilterData" localSheetId="4" hidden="1">'Yr 2 Operating Statement of Act'!$A$74:$N$400</definedName>
    <definedName name="Z_FF09F429_7712_42C4_8E8D_F960CD33567E_.wvu.FilterData" localSheetId="5" hidden="1">'Yr 3 Operating Statement of Act'!$A$74:$N$400</definedName>
    <definedName name="Z_FF09F429_7712_42C4_8E8D_F960CD33567E_.wvu.FilterData" localSheetId="6" hidden="1">'Yr 4 Operating Statement of Act'!$A$74:$N$400</definedName>
  </definedNames>
  <calcPr calcId="162913"/>
  <customWorkbookViews>
    <customWorkbookView name="Javier Cortez - Personal View" guid="{FF09F429-7712-42C4-8E8D-F960CD33567E}" mergeInterval="0" personalView="1" maximized="1" xWindow="1358" yWindow="-8" windowWidth="1936" windowHeight="1056" tabRatio="782" activeSheetId="3"/>
    <customWorkbookView name="Brad Rosenblat - Personal View" guid="{40BC2F83-0811-4ECE-99F8-980F9280326A}" mergeInterval="0" personalView="1" maximized="1" xWindow="1358" yWindow="-316" windowWidth="1936" windowHeight="1056" tabRatio="782" activeSheetId="5"/>
  </customWorkbookViews>
</workbook>
</file>

<file path=xl/calcChain.xml><?xml version="1.0" encoding="utf-8"?>
<calcChain xmlns="http://schemas.openxmlformats.org/spreadsheetml/2006/main">
  <c r="G218" i="16" l="1"/>
  <c r="G218" i="19"/>
  <c r="G218" i="9"/>
  <c r="G218" i="4"/>
  <c r="G198" i="4"/>
  <c r="G198" i="19"/>
  <c r="G198" i="16"/>
  <c r="G198" i="9"/>
  <c r="G201" i="4"/>
  <c r="G201" i="19"/>
  <c r="G201" i="16"/>
  <c r="G201" i="9"/>
  <c r="I161" i="4" l="1"/>
  <c r="F20" i="2" l="1"/>
  <c r="F21" i="2" s="1"/>
  <c r="F22" i="2" s="1"/>
  <c r="F23" i="2" s="1"/>
  <c r="F24" i="2" s="1"/>
  <c r="F25" i="2" s="1"/>
  <c r="F26" i="2" s="1"/>
  <c r="F27" i="2" s="1"/>
  <c r="F28" i="2" s="1"/>
  <c r="I208" i="19" l="1"/>
  <c r="I106" i="19"/>
  <c r="I105" i="19"/>
  <c r="I97" i="19"/>
  <c r="I208" i="16"/>
  <c r="I107" i="16"/>
  <c r="I106" i="16"/>
  <c r="I105" i="16"/>
  <c r="I97" i="16"/>
  <c r="I208" i="9"/>
  <c r="I158" i="9"/>
  <c r="I132" i="9"/>
  <c r="I107" i="9"/>
  <c r="I106" i="9"/>
  <c r="I105" i="9"/>
  <c r="I97" i="9"/>
  <c r="K79" i="19"/>
  <c r="K79" i="16"/>
  <c r="K79" i="9"/>
  <c r="I208" i="4"/>
  <c r="I107" i="4" l="1"/>
  <c r="I106" i="4"/>
  <c r="I105" i="4"/>
  <c r="I97" i="4"/>
  <c r="G97" i="4" s="1"/>
  <c r="K79" i="4"/>
  <c r="D83" i="2" l="1"/>
  <c r="C83" i="2"/>
  <c r="E4" i="2"/>
  <c r="C50" i="2"/>
  <c r="D50" i="2" s="1"/>
  <c r="E50" i="2" s="1"/>
  <c r="B20" i="2"/>
  <c r="B22" i="2" l="1"/>
  <c r="B23" i="2"/>
  <c r="B24" i="2"/>
  <c r="B25" i="2"/>
  <c r="B26" i="2"/>
  <c r="B27" i="2"/>
  <c r="B28" i="2"/>
  <c r="B21" i="2"/>
  <c r="D3" i="2" l="1"/>
  <c r="E3" i="2" s="1"/>
  <c r="C2" i="2"/>
  <c r="D2" i="2" s="1"/>
  <c r="E2" i="2" s="1"/>
  <c r="C127" i="2" l="1"/>
  <c r="C128" i="2"/>
  <c r="C118" i="2"/>
  <c r="C119" i="2"/>
  <c r="C120" i="2"/>
  <c r="C121" i="2"/>
  <c r="C122" i="2"/>
  <c r="C123" i="2"/>
  <c r="C124" i="2"/>
  <c r="C125" i="2"/>
  <c r="C126" i="2"/>
  <c r="J97" i="9" l="1"/>
  <c r="J97" i="16" s="1"/>
  <c r="J97" i="19" s="1"/>
  <c r="J209" i="9"/>
  <c r="J209" i="16" s="1"/>
  <c r="J209" i="19" s="1"/>
  <c r="J208" i="9"/>
  <c r="J208" i="16" s="1"/>
  <c r="J208" i="19" s="1"/>
  <c r="J207" i="9"/>
  <c r="J207" i="16" s="1"/>
  <c r="J207" i="19" s="1"/>
  <c r="J161" i="9"/>
  <c r="J161" i="16" s="1"/>
  <c r="J161" i="19" s="1"/>
  <c r="J160" i="9"/>
  <c r="J160" i="16" s="1"/>
  <c r="J160" i="19" s="1"/>
  <c r="J159" i="9"/>
  <c r="J159" i="16" s="1"/>
  <c r="J159" i="19" s="1"/>
  <c r="J158" i="9"/>
  <c r="J158" i="16" s="1"/>
  <c r="J158" i="19" s="1"/>
  <c r="J132" i="9"/>
  <c r="J132" i="16" s="1"/>
  <c r="J132" i="19" s="1"/>
  <c r="J107" i="9"/>
  <c r="J107" i="16" s="1"/>
  <c r="J107" i="19" s="1"/>
  <c r="J106" i="9"/>
  <c r="J106" i="16" s="1"/>
  <c r="J106" i="19" s="1"/>
  <c r="J105" i="9"/>
  <c r="J105" i="16" s="1"/>
  <c r="J105" i="19" s="1"/>
  <c r="J79" i="9"/>
  <c r="J79" i="16" s="1"/>
  <c r="J79" i="19" s="1"/>
  <c r="E83" i="2"/>
  <c r="C61" i="2" l="1"/>
  <c r="D61" i="2" s="1"/>
  <c r="E61" i="2" s="1"/>
  <c r="C49" i="2"/>
  <c r="D49" i="2"/>
  <c r="E49" i="2" s="1"/>
  <c r="C51" i="2"/>
  <c r="D51" i="2" s="1"/>
  <c r="E51" i="2" s="1"/>
  <c r="C52" i="2"/>
  <c r="D52" i="2" s="1"/>
  <c r="E52" i="2" s="1"/>
  <c r="C53" i="2"/>
  <c r="D53" i="2" s="1"/>
  <c r="E53" i="2" s="1"/>
  <c r="C45" i="2"/>
  <c r="D45" i="2"/>
  <c r="E45" i="2" s="1"/>
  <c r="C39" i="2"/>
  <c r="D39" i="2" s="1"/>
  <c r="E39" i="2" s="1"/>
  <c r="C40" i="2"/>
  <c r="D40" i="2" s="1"/>
  <c r="E40" i="2" s="1"/>
  <c r="C41" i="2"/>
  <c r="D41" i="2"/>
  <c r="E41" i="2" s="1"/>
  <c r="C31" i="2"/>
  <c r="D31" i="2" s="1"/>
  <c r="E31" i="2" s="1"/>
  <c r="C32" i="2"/>
  <c r="D32" i="2" s="1"/>
  <c r="E32" i="2" s="1"/>
  <c r="C33" i="2"/>
  <c r="D33" i="2" s="1"/>
  <c r="E33" i="2" s="1"/>
  <c r="C34" i="2"/>
  <c r="D34" i="2" s="1"/>
  <c r="E34" i="2" s="1"/>
  <c r="C35" i="2"/>
  <c r="D35" i="2" s="1"/>
  <c r="E35" i="2" s="1"/>
  <c r="C36" i="2"/>
  <c r="D36" i="2" s="1"/>
  <c r="E36" i="2" s="1"/>
  <c r="C17" i="2"/>
  <c r="C20" i="2" s="1"/>
  <c r="C18" i="2"/>
  <c r="D18" i="2" s="1"/>
  <c r="E18" i="2" s="1"/>
  <c r="M61" i="5"/>
  <c r="M58" i="5"/>
  <c r="M57" i="5"/>
  <c r="M56" i="5"/>
  <c r="M53" i="5"/>
  <c r="M50" i="5"/>
  <c r="M49" i="5"/>
  <c r="M47" i="5"/>
  <c r="M30" i="5"/>
  <c r="M26" i="5"/>
  <c r="M16" i="5"/>
  <c r="D17" i="2" l="1"/>
  <c r="D20" i="2" s="1"/>
  <c r="C23" i="2"/>
  <c r="C27" i="2"/>
  <c r="C22" i="2"/>
  <c r="C26" i="2"/>
  <c r="C25" i="2"/>
  <c r="C21" i="2"/>
  <c r="C24" i="2"/>
  <c r="C28" i="2"/>
  <c r="I280" i="19"/>
  <c r="I279" i="19"/>
  <c r="I278" i="19"/>
  <c r="I277" i="19"/>
  <c r="I276" i="19"/>
  <c r="I223" i="19"/>
  <c r="I222" i="19"/>
  <c r="I221" i="19"/>
  <c r="I220" i="19"/>
  <c r="I219" i="19"/>
  <c r="I166" i="19"/>
  <c r="I165" i="19"/>
  <c r="I164" i="19"/>
  <c r="I163" i="19"/>
  <c r="I162" i="19"/>
  <c r="I147" i="19"/>
  <c r="I146" i="19"/>
  <c r="I145" i="19"/>
  <c r="I144" i="19"/>
  <c r="I143" i="19"/>
  <c r="I121" i="19"/>
  <c r="I120" i="19"/>
  <c r="I119" i="19"/>
  <c r="I118" i="19"/>
  <c r="I117" i="19"/>
  <c r="I94" i="19"/>
  <c r="I93" i="19"/>
  <c r="I92" i="19"/>
  <c r="I91" i="19"/>
  <c r="I90" i="19"/>
  <c r="J12" i="5"/>
  <c r="J13" i="5"/>
  <c r="J14" i="5"/>
  <c r="J17" i="5"/>
  <c r="J18" i="5"/>
  <c r="J28" i="5"/>
  <c r="J29" i="5"/>
  <c r="J43" i="5"/>
  <c r="J45" i="5"/>
  <c r="J51" i="5"/>
  <c r="J54" i="5"/>
  <c r="J55" i="5"/>
  <c r="J59" i="5"/>
  <c r="J63" i="5"/>
  <c r="K63" i="5" s="1"/>
  <c r="J68" i="5"/>
  <c r="J80" i="5"/>
  <c r="J81" i="5"/>
  <c r="J83" i="5"/>
  <c r="J89" i="5"/>
  <c r="J95" i="5"/>
  <c r="J108" i="5"/>
  <c r="J110" i="5"/>
  <c r="J111" i="5"/>
  <c r="J115" i="5"/>
  <c r="J116" i="5"/>
  <c r="J122" i="5"/>
  <c r="J133" i="5"/>
  <c r="J134" i="5"/>
  <c r="J136" i="5"/>
  <c r="J137" i="5"/>
  <c r="J141" i="5"/>
  <c r="J148" i="5"/>
  <c r="J167" i="5"/>
  <c r="J174" i="5"/>
  <c r="J176" i="5"/>
  <c r="J177" i="5"/>
  <c r="J178" i="5"/>
  <c r="J179" i="5"/>
  <c r="J180" i="5"/>
  <c r="J181" i="5"/>
  <c r="J182" i="5"/>
  <c r="J183" i="5"/>
  <c r="J184" i="5"/>
  <c r="J197" i="5"/>
  <c r="J199" i="5"/>
  <c r="J211" i="5"/>
  <c r="J212" i="5"/>
  <c r="J213" i="5"/>
  <c r="J216" i="5"/>
  <c r="J224" i="5"/>
  <c r="J233" i="5"/>
  <c r="J235" i="5"/>
  <c r="J236" i="5"/>
  <c r="J237" i="5"/>
  <c r="J238" i="5"/>
  <c r="J239" i="5"/>
  <c r="J240" i="5"/>
  <c r="J241" i="5"/>
  <c r="J242" i="5"/>
  <c r="J243" i="5"/>
  <c r="J244" i="5"/>
  <c r="J245" i="5"/>
  <c r="J246" i="5"/>
  <c r="J247" i="5"/>
  <c r="J248" i="5"/>
  <c r="J249" i="5"/>
  <c r="J250" i="5"/>
  <c r="J257" i="5"/>
  <c r="J259" i="5"/>
  <c r="J260" i="5"/>
  <c r="J261" i="5"/>
  <c r="J262" i="5"/>
  <c r="J263" i="5"/>
  <c r="J265" i="5"/>
  <c r="J275" i="5"/>
  <c r="J281" i="5"/>
  <c r="J288" i="5"/>
  <c r="J290" i="5"/>
  <c r="J291" i="5"/>
  <c r="J293" i="5"/>
  <c r="J294" i="5"/>
  <c r="J295" i="5"/>
  <c r="J296" i="5"/>
  <c r="J297" i="5"/>
  <c r="J298" i="5"/>
  <c r="J299" i="5"/>
  <c r="J300" i="5"/>
  <c r="J301" i="5"/>
  <c r="J302" i="5"/>
  <c r="J303" i="5"/>
  <c r="J313" i="5"/>
  <c r="J314" i="5"/>
  <c r="J315" i="5"/>
  <c r="J316" i="5"/>
  <c r="J317" i="5"/>
  <c r="J318" i="5"/>
  <c r="J319" i="5"/>
  <c r="J320" i="5"/>
  <c r="J330" i="5"/>
  <c r="J331" i="5"/>
  <c r="J333" i="5"/>
  <c r="J334" i="5"/>
  <c r="J335" i="5"/>
  <c r="J337" i="5"/>
  <c r="J338" i="5"/>
  <c r="J339" i="5"/>
  <c r="J340" i="5"/>
  <c r="J341" i="5"/>
  <c r="J342" i="5"/>
  <c r="J343" i="5"/>
  <c r="J344" i="5"/>
  <c r="J345" i="5"/>
  <c r="J353" i="5"/>
  <c r="J354" i="5"/>
  <c r="J355" i="5"/>
  <c r="J356" i="5"/>
  <c r="J357" i="5"/>
  <c r="J358" i="5"/>
  <c r="J359" i="5"/>
  <c r="J360" i="5"/>
  <c r="J369" i="5"/>
  <c r="J370" i="5"/>
  <c r="J371" i="5"/>
  <c r="J372" i="5"/>
  <c r="J373" i="5"/>
  <c r="J382" i="5"/>
  <c r="J383" i="5"/>
  <c r="J384" i="5"/>
  <c r="J385" i="5"/>
  <c r="J394" i="5"/>
  <c r="J396" i="5" s="1"/>
  <c r="E6" i="2"/>
  <c r="E95" i="2"/>
  <c r="I94" i="16"/>
  <c r="I93" i="16"/>
  <c r="I92" i="16"/>
  <c r="I91" i="16"/>
  <c r="I90" i="16"/>
  <c r="I121" i="16"/>
  <c r="I120" i="16"/>
  <c r="I119" i="16"/>
  <c r="I118" i="16"/>
  <c r="I117" i="16"/>
  <c r="I280" i="16"/>
  <c r="I279" i="16"/>
  <c r="I278" i="16"/>
  <c r="I277" i="16"/>
  <c r="I276" i="16"/>
  <c r="I223" i="16"/>
  <c r="I222" i="16"/>
  <c r="I221" i="16"/>
  <c r="I220" i="16"/>
  <c r="I219" i="16"/>
  <c r="I147" i="16"/>
  <c r="I146" i="16"/>
  <c r="I145" i="16"/>
  <c r="I144" i="16"/>
  <c r="I143" i="16"/>
  <c r="I166" i="16"/>
  <c r="I165" i="16"/>
  <c r="I164" i="16"/>
  <c r="I163" i="16"/>
  <c r="I162" i="16"/>
  <c r="I12" i="5"/>
  <c r="I13" i="5"/>
  <c r="I14" i="5"/>
  <c r="I17" i="5"/>
  <c r="I18" i="5"/>
  <c r="I28" i="5"/>
  <c r="I29" i="5"/>
  <c r="I43" i="5"/>
  <c r="I45" i="5"/>
  <c r="I51" i="5"/>
  <c r="I54" i="5"/>
  <c r="I55" i="5"/>
  <c r="I59" i="5"/>
  <c r="I63" i="5"/>
  <c r="I68" i="5"/>
  <c r="I80" i="5"/>
  <c r="I81" i="5"/>
  <c r="I83" i="5"/>
  <c r="I89" i="5"/>
  <c r="I95" i="5"/>
  <c r="I108" i="5"/>
  <c r="I110" i="5"/>
  <c r="I111" i="5"/>
  <c r="I115" i="5"/>
  <c r="I116" i="5"/>
  <c r="I122" i="5"/>
  <c r="I133" i="5"/>
  <c r="I134" i="5"/>
  <c r="I136" i="5"/>
  <c r="I137" i="5"/>
  <c r="I141" i="5"/>
  <c r="I148" i="5"/>
  <c r="I167" i="5"/>
  <c r="I174" i="5"/>
  <c r="I176" i="5"/>
  <c r="I177" i="5"/>
  <c r="I178" i="5"/>
  <c r="I179" i="5"/>
  <c r="I180" i="5"/>
  <c r="I181" i="5"/>
  <c r="I182" i="5"/>
  <c r="I183" i="5"/>
  <c r="I184" i="5"/>
  <c r="I197" i="5"/>
  <c r="I199" i="5"/>
  <c r="I211" i="5"/>
  <c r="I212" i="5"/>
  <c r="I213" i="5"/>
  <c r="I216" i="5"/>
  <c r="I224" i="5"/>
  <c r="I233" i="5"/>
  <c r="I235" i="5"/>
  <c r="I236" i="5"/>
  <c r="I237" i="5"/>
  <c r="I238" i="5"/>
  <c r="I239" i="5"/>
  <c r="I240" i="5"/>
  <c r="I241" i="5"/>
  <c r="I242" i="5"/>
  <c r="I243" i="5"/>
  <c r="I244" i="5"/>
  <c r="I245" i="5"/>
  <c r="I246" i="5"/>
  <c r="I247" i="5"/>
  <c r="I248" i="5"/>
  <c r="I249" i="5"/>
  <c r="I250" i="5"/>
  <c r="I257" i="5"/>
  <c r="I259" i="5"/>
  <c r="I260" i="5"/>
  <c r="I261" i="5"/>
  <c r="I262" i="5"/>
  <c r="I263" i="5"/>
  <c r="I265" i="5"/>
  <c r="I275" i="5"/>
  <c r="I281" i="5"/>
  <c r="I288" i="5"/>
  <c r="I290" i="5"/>
  <c r="I291" i="5"/>
  <c r="I293" i="5"/>
  <c r="I294" i="5"/>
  <c r="I295" i="5"/>
  <c r="I296" i="5"/>
  <c r="I297" i="5"/>
  <c r="I298" i="5"/>
  <c r="I299" i="5"/>
  <c r="I300" i="5"/>
  <c r="I301" i="5"/>
  <c r="I302" i="5"/>
  <c r="I303" i="5"/>
  <c r="I313" i="5"/>
  <c r="I314" i="5"/>
  <c r="I315" i="5"/>
  <c r="I316" i="5"/>
  <c r="I317" i="5"/>
  <c r="I318" i="5"/>
  <c r="I319" i="5"/>
  <c r="I320" i="5"/>
  <c r="I330" i="5"/>
  <c r="I331" i="5"/>
  <c r="I333" i="5"/>
  <c r="I334" i="5"/>
  <c r="I335" i="5"/>
  <c r="I337" i="5"/>
  <c r="I338" i="5"/>
  <c r="I339" i="5"/>
  <c r="I340" i="5"/>
  <c r="I341" i="5"/>
  <c r="I342" i="5"/>
  <c r="I343" i="5"/>
  <c r="I344" i="5"/>
  <c r="I345" i="5"/>
  <c r="I353" i="5"/>
  <c r="I354" i="5"/>
  <c r="I355" i="5"/>
  <c r="I356" i="5"/>
  <c r="I357" i="5"/>
  <c r="I358" i="5"/>
  <c r="I359" i="5"/>
  <c r="I360" i="5"/>
  <c r="I369" i="5"/>
  <c r="I370" i="5"/>
  <c r="I371" i="5"/>
  <c r="I372" i="5"/>
  <c r="I373" i="5"/>
  <c r="I382" i="5"/>
  <c r="I383" i="5"/>
  <c r="I384" i="5"/>
  <c r="I385" i="5"/>
  <c r="I394" i="5"/>
  <c r="I396" i="5" s="1"/>
  <c r="I280" i="9"/>
  <c r="I279" i="9"/>
  <c r="I278" i="9"/>
  <c r="I277" i="9"/>
  <c r="I276" i="9"/>
  <c r="I223" i="9"/>
  <c r="I222" i="9"/>
  <c r="I221" i="9"/>
  <c r="I220" i="9"/>
  <c r="I219" i="9"/>
  <c r="I166" i="9"/>
  <c r="I165" i="9"/>
  <c r="I164" i="9"/>
  <c r="I163" i="9"/>
  <c r="I162" i="9"/>
  <c r="I147" i="9"/>
  <c r="I146" i="9"/>
  <c r="I145" i="9"/>
  <c r="I144" i="9"/>
  <c r="I143" i="9"/>
  <c r="I121" i="9"/>
  <c r="I120" i="9"/>
  <c r="I119" i="9"/>
  <c r="I118" i="9"/>
  <c r="I117" i="9"/>
  <c r="I94" i="9"/>
  <c r="I93" i="9"/>
  <c r="I92" i="9"/>
  <c r="I91" i="9"/>
  <c r="I90" i="9"/>
  <c r="D6" i="2"/>
  <c r="D95" i="2"/>
  <c r="H12" i="5"/>
  <c r="H13" i="5"/>
  <c r="H14" i="5"/>
  <c r="H17" i="5"/>
  <c r="H18" i="5"/>
  <c r="H28" i="5"/>
  <c r="H29" i="5"/>
  <c r="H43" i="5"/>
  <c r="H45" i="5"/>
  <c r="H51" i="5"/>
  <c r="H54" i="5"/>
  <c r="H55" i="5"/>
  <c r="H59" i="5"/>
  <c r="H63" i="5"/>
  <c r="H68" i="5"/>
  <c r="H80" i="5"/>
  <c r="H81" i="5"/>
  <c r="H83" i="5"/>
  <c r="H89" i="5"/>
  <c r="H95" i="5"/>
  <c r="H108" i="5"/>
  <c r="H110" i="5"/>
  <c r="H111" i="5"/>
  <c r="H115" i="5"/>
  <c r="H116" i="5"/>
  <c r="H122" i="5"/>
  <c r="H133" i="5"/>
  <c r="H134" i="5"/>
  <c r="H136" i="5"/>
  <c r="H137" i="5"/>
  <c r="H141" i="5"/>
  <c r="H148" i="5"/>
  <c r="H167" i="5"/>
  <c r="H174" i="5"/>
  <c r="H176" i="5"/>
  <c r="H177" i="5"/>
  <c r="H178" i="5"/>
  <c r="H179" i="5"/>
  <c r="H180" i="5"/>
  <c r="H181" i="5"/>
  <c r="H182" i="5"/>
  <c r="H183" i="5"/>
  <c r="H184" i="5"/>
  <c r="H197" i="5"/>
  <c r="H199" i="5"/>
  <c r="H211" i="5"/>
  <c r="H212" i="5"/>
  <c r="H213" i="5"/>
  <c r="H216" i="5"/>
  <c r="H224" i="5"/>
  <c r="H233" i="5"/>
  <c r="H235" i="5"/>
  <c r="H236" i="5"/>
  <c r="H237" i="5"/>
  <c r="H238" i="5"/>
  <c r="H239" i="5"/>
  <c r="H240" i="5"/>
  <c r="H241" i="5"/>
  <c r="H242" i="5"/>
  <c r="H243" i="5"/>
  <c r="H244" i="5"/>
  <c r="H245" i="5"/>
  <c r="H246" i="5"/>
  <c r="H247" i="5"/>
  <c r="H248" i="5"/>
  <c r="H249" i="5"/>
  <c r="H250" i="5"/>
  <c r="H257" i="5"/>
  <c r="H259" i="5"/>
  <c r="H260" i="5"/>
  <c r="H261" i="5"/>
  <c r="H262" i="5"/>
  <c r="H263" i="5"/>
  <c r="H265" i="5"/>
  <c r="H275" i="5"/>
  <c r="H281" i="5"/>
  <c r="H288" i="5"/>
  <c r="H290" i="5"/>
  <c r="H291" i="5"/>
  <c r="H293" i="5"/>
  <c r="H294" i="5"/>
  <c r="H295" i="5"/>
  <c r="H296" i="5"/>
  <c r="H297" i="5"/>
  <c r="H298" i="5"/>
  <c r="H299" i="5"/>
  <c r="H300" i="5"/>
  <c r="H301" i="5"/>
  <c r="H302" i="5"/>
  <c r="H303" i="5"/>
  <c r="H313" i="5"/>
  <c r="H314" i="5"/>
  <c r="H315" i="5"/>
  <c r="H316" i="5"/>
  <c r="H317" i="5"/>
  <c r="H318" i="5"/>
  <c r="H319" i="5"/>
  <c r="H320" i="5"/>
  <c r="H330" i="5"/>
  <c r="H331" i="5"/>
  <c r="H333" i="5"/>
  <c r="H334" i="5"/>
  <c r="H335" i="5"/>
  <c r="H337" i="5"/>
  <c r="H338" i="5"/>
  <c r="H339" i="5"/>
  <c r="H340" i="5"/>
  <c r="H341" i="5"/>
  <c r="H342" i="5"/>
  <c r="H343" i="5"/>
  <c r="H344" i="5"/>
  <c r="H345" i="5"/>
  <c r="H353" i="5"/>
  <c r="H354" i="5"/>
  <c r="H355" i="5"/>
  <c r="H356" i="5"/>
  <c r="H357" i="5"/>
  <c r="H358" i="5"/>
  <c r="H359" i="5"/>
  <c r="H360" i="5"/>
  <c r="H369" i="5"/>
  <c r="H370" i="5"/>
  <c r="H371" i="5"/>
  <c r="H372" i="5"/>
  <c r="H373" i="5"/>
  <c r="H382" i="5"/>
  <c r="H383" i="5"/>
  <c r="H384" i="5"/>
  <c r="H385" i="5"/>
  <c r="H394" i="5"/>
  <c r="H396" i="5" s="1"/>
  <c r="C6" i="2"/>
  <c r="C95" i="2"/>
  <c r="G396" i="19"/>
  <c r="G389" i="19"/>
  <c r="G378" i="19"/>
  <c r="G364" i="19"/>
  <c r="G256" i="19"/>
  <c r="I209" i="19"/>
  <c r="I207" i="19"/>
  <c r="H201" i="19"/>
  <c r="H198" i="19"/>
  <c r="I161" i="19"/>
  <c r="I160" i="19"/>
  <c r="G160" i="19" s="1"/>
  <c r="J160" i="5" s="1"/>
  <c r="I159" i="19"/>
  <c r="I158" i="19"/>
  <c r="G158" i="19" s="1"/>
  <c r="J158" i="5" s="1"/>
  <c r="I132" i="19"/>
  <c r="I107" i="19"/>
  <c r="G97" i="19"/>
  <c r="J97" i="5" s="1"/>
  <c r="K97" i="5" s="1"/>
  <c r="I79" i="19"/>
  <c r="G61" i="19"/>
  <c r="J61" i="5" s="1"/>
  <c r="K61" i="5" s="1"/>
  <c r="G58" i="19"/>
  <c r="J58" i="5" s="1"/>
  <c r="K58" i="5" s="1"/>
  <c r="G57" i="19"/>
  <c r="J57" i="5" s="1"/>
  <c r="K57" i="5" s="1"/>
  <c r="G56" i="19"/>
  <c r="J56" i="5" s="1"/>
  <c r="K56" i="5" s="1"/>
  <c r="G53" i="19"/>
  <c r="J53" i="5" s="1"/>
  <c r="K53" i="5" s="1"/>
  <c r="G50" i="19"/>
  <c r="J50" i="5" s="1"/>
  <c r="K50" i="5" s="1"/>
  <c r="G49" i="19"/>
  <c r="J49" i="5" s="1"/>
  <c r="K49" i="5" s="1"/>
  <c r="G30" i="19"/>
  <c r="J30" i="5" s="1"/>
  <c r="K30" i="5" s="1"/>
  <c r="G26" i="19"/>
  <c r="J26" i="5" s="1"/>
  <c r="K26" i="5" s="1"/>
  <c r="G16" i="19"/>
  <c r="J16" i="5" s="1"/>
  <c r="K16" i="5" s="1"/>
  <c r="D1" i="19"/>
  <c r="G396" i="16"/>
  <c r="G389" i="16"/>
  <c r="G378" i="16"/>
  <c r="G364" i="16"/>
  <c r="G256" i="16"/>
  <c r="I209" i="16"/>
  <c r="I207" i="16"/>
  <c r="H201" i="16"/>
  <c r="H198" i="16"/>
  <c r="I161" i="16"/>
  <c r="I160" i="16"/>
  <c r="G160" i="16" s="1"/>
  <c r="I160" i="5" s="1"/>
  <c r="I159" i="16"/>
  <c r="I158" i="16"/>
  <c r="G158" i="16" s="1"/>
  <c r="I158" i="5" s="1"/>
  <c r="I132" i="16"/>
  <c r="G97" i="16"/>
  <c r="I97" i="5" s="1"/>
  <c r="I79" i="16"/>
  <c r="G61" i="16"/>
  <c r="I61" i="5" s="1"/>
  <c r="G58" i="16"/>
  <c r="I58" i="5" s="1"/>
  <c r="G57" i="16"/>
  <c r="I57" i="5" s="1"/>
  <c r="G56" i="16"/>
  <c r="I56" i="5" s="1"/>
  <c r="G53" i="16"/>
  <c r="I53" i="5" s="1"/>
  <c r="G50" i="16"/>
  <c r="I50" i="5" s="1"/>
  <c r="G49" i="16"/>
  <c r="I49" i="5" s="1"/>
  <c r="G30" i="16"/>
  <c r="I30" i="5" s="1"/>
  <c r="G26" i="16"/>
  <c r="I26" i="5" s="1"/>
  <c r="G16" i="16"/>
  <c r="I16" i="5" s="1"/>
  <c r="D1" i="16"/>
  <c r="G396" i="9"/>
  <c r="G389" i="9"/>
  <c r="G378" i="9"/>
  <c r="G364" i="9"/>
  <c r="G256" i="9"/>
  <c r="H256" i="5" s="1"/>
  <c r="I209" i="9"/>
  <c r="G209" i="9" s="1"/>
  <c r="H209" i="5" s="1"/>
  <c r="I207" i="9"/>
  <c r="H201" i="9"/>
  <c r="H198" i="9"/>
  <c r="I161" i="9"/>
  <c r="G161" i="9" s="1"/>
  <c r="H161" i="5" s="1"/>
  <c r="I160" i="9"/>
  <c r="G160" i="9" s="1"/>
  <c r="H160" i="5" s="1"/>
  <c r="I159" i="9"/>
  <c r="G132" i="9"/>
  <c r="H132" i="5" s="1"/>
  <c r="G97" i="9"/>
  <c r="H97" i="5" s="1"/>
  <c r="I79" i="9"/>
  <c r="G61" i="9"/>
  <c r="H61" i="5" s="1"/>
  <c r="G58" i="9"/>
  <c r="H58" i="5" s="1"/>
  <c r="G57" i="9"/>
  <c r="H57" i="5" s="1"/>
  <c r="G56" i="9"/>
  <c r="H56" i="5" s="1"/>
  <c r="G53" i="9"/>
  <c r="H53" i="5" s="1"/>
  <c r="G50" i="9"/>
  <c r="H50" i="5" s="1"/>
  <c r="G49" i="9"/>
  <c r="H49" i="5" s="1"/>
  <c r="G30" i="9"/>
  <c r="H30" i="5" s="1"/>
  <c r="G26" i="9"/>
  <c r="H26" i="5" s="1"/>
  <c r="G16" i="9"/>
  <c r="H16" i="5" s="1"/>
  <c r="D1" i="9"/>
  <c r="G270" i="19" l="1"/>
  <c r="J270" i="5" s="1"/>
  <c r="G79" i="19"/>
  <c r="J79" i="5" s="1"/>
  <c r="K79" i="5" s="1"/>
  <c r="G79" i="16"/>
  <c r="G94" i="16" s="1"/>
  <c r="I94" i="5" s="1"/>
  <c r="G79" i="9"/>
  <c r="H79" i="5" s="1"/>
  <c r="G161" i="19"/>
  <c r="J161" i="5" s="1"/>
  <c r="G276" i="19"/>
  <c r="J276" i="5" s="1"/>
  <c r="C65" i="2"/>
  <c r="C57" i="2"/>
  <c r="D65" i="2"/>
  <c r="D57" i="2"/>
  <c r="G279" i="16"/>
  <c r="I279" i="5" s="1"/>
  <c r="E65" i="2"/>
  <c r="E57" i="2"/>
  <c r="E17" i="2"/>
  <c r="E20" i="2" s="1"/>
  <c r="D24" i="2"/>
  <c r="D28" i="2"/>
  <c r="D27" i="2"/>
  <c r="D22" i="2"/>
  <c r="D26" i="2"/>
  <c r="D21" i="2"/>
  <c r="D25" i="2"/>
  <c r="D23" i="2"/>
  <c r="G278" i="19"/>
  <c r="J278" i="5" s="1"/>
  <c r="J256" i="5"/>
  <c r="G279" i="19"/>
  <c r="J279" i="5" s="1"/>
  <c r="G280" i="19"/>
  <c r="J280" i="5" s="1"/>
  <c r="G277" i="19"/>
  <c r="J277" i="5" s="1"/>
  <c r="G278" i="16"/>
  <c r="I278" i="5" s="1"/>
  <c r="I256" i="5"/>
  <c r="G280" i="16"/>
  <c r="I280" i="5" s="1"/>
  <c r="G277" i="16"/>
  <c r="I277" i="5" s="1"/>
  <c r="G276" i="16"/>
  <c r="I276" i="5" s="1"/>
  <c r="G278" i="9"/>
  <c r="H278" i="5" s="1"/>
  <c r="G276" i="9"/>
  <c r="H276" i="5" s="1"/>
  <c r="G280" i="9"/>
  <c r="H280" i="5" s="1"/>
  <c r="G208" i="16"/>
  <c r="I208" i="5" s="1"/>
  <c r="G207" i="19"/>
  <c r="J207" i="5" s="1"/>
  <c r="G105" i="16"/>
  <c r="I105" i="5" s="1"/>
  <c r="G132" i="19"/>
  <c r="J132" i="5" s="1"/>
  <c r="I378" i="5"/>
  <c r="J378" i="5"/>
  <c r="J389" i="5"/>
  <c r="J364" i="5"/>
  <c r="I364" i="5"/>
  <c r="I389" i="5"/>
  <c r="G159" i="9"/>
  <c r="H159" i="5" s="1"/>
  <c r="G209" i="16"/>
  <c r="I209" i="5" s="1"/>
  <c r="G107" i="19"/>
  <c r="J107" i="5" s="1"/>
  <c r="G208" i="19"/>
  <c r="J208" i="5" s="1"/>
  <c r="J234" i="5"/>
  <c r="J253" i="5" s="1"/>
  <c r="H364" i="5"/>
  <c r="H389" i="5"/>
  <c r="G106" i="9"/>
  <c r="H106" i="5" s="1"/>
  <c r="G159" i="16"/>
  <c r="I159" i="5" s="1"/>
  <c r="I234" i="5"/>
  <c r="I253" i="5" s="1"/>
  <c r="H378" i="5"/>
  <c r="G146" i="9"/>
  <c r="H146" i="5" s="1"/>
  <c r="G105" i="9"/>
  <c r="H105" i="5" s="1"/>
  <c r="G143" i="9"/>
  <c r="H143" i="5" s="1"/>
  <c r="G145" i="9"/>
  <c r="H145" i="5" s="1"/>
  <c r="G106" i="19"/>
  <c r="J106" i="5" s="1"/>
  <c r="G105" i="19"/>
  <c r="G159" i="19"/>
  <c r="J159" i="5" s="1"/>
  <c r="G209" i="19"/>
  <c r="J209" i="5" s="1"/>
  <c r="G107" i="16"/>
  <c r="I107" i="5" s="1"/>
  <c r="G132" i="16"/>
  <c r="I132" i="5" s="1"/>
  <c r="G161" i="16"/>
  <c r="I161" i="5" s="1"/>
  <c r="G207" i="16"/>
  <c r="I207" i="5" s="1"/>
  <c r="G270" i="16"/>
  <c r="I270" i="5" s="1"/>
  <c r="G106" i="16"/>
  <c r="I106" i="5" s="1"/>
  <c r="G270" i="9"/>
  <c r="H270" i="5" s="1"/>
  <c r="G144" i="9"/>
  <c r="H144" i="5" s="1"/>
  <c r="G158" i="9"/>
  <c r="G207" i="9"/>
  <c r="H207" i="5" s="1"/>
  <c r="G147" i="9"/>
  <c r="H147" i="5" s="1"/>
  <c r="G107" i="9"/>
  <c r="H107" i="5" s="1"/>
  <c r="H234" i="5"/>
  <c r="H253" i="5" s="1"/>
  <c r="G208" i="9"/>
  <c r="H208" i="5" s="1"/>
  <c r="G277" i="9"/>
  <c r="H277" i="5" s="1"/>
  <c r="G279" i="9"/>
  <c r="H279" i="5" s="1"/>
  <c r="G92" i="9" l="1"/>
  <c r="H92" i="5" s="1"/>
  <c r="G94" i="9"/>
  <c r="H94" i="5" s="1"/>
  <c r="G93" i="9"/>
  <c r="H93" i="5" s="1"/>
  <c r="G91" i="9"/>
  <c r="H91" i="5" s="1"/>
  <c r="G90" i="9"/>
  <c r="H90" i="5" s="1"/>
  <c r="E21" i="2"/>
  <c r="K25" i="5" s="1"/>
  <c r="E25" i="2"/>
  <c r="E23" i="2"/>
  <c r="E24" i="2"/>
  <c r="E28" i="2"/>
  <c r="E22" i="2"/>
  <c r="E26" i="2"/>
  <c r="E27" i="2"/>
  <c r="G143" i="19"/>
  <c r="J143" i="5" s="1"/>
  <c r="G146" i="19"/>
  <c r="J146" i="5" s="1"/>
  <c r="G117" i="19"/>
  <c r="J117" i="5" s="1"/>
  <c r="G253" i="16"/>
  <c r="G253" i="19"/>
  <c r="G144" i="19"/>
  <c r="J144" i="5" s="1"/>
  <c r="G147" i="19"/>
  <c r="J147" i="5" s="1"/>
  <c r="G145" i="19"/>
  <c r="J145" i="5" s="1"/>
  <c r="G163" i="19"/>
  <c r="J163" i="5" s="1"/>
  <c r="G120" i="19"/>
  <c r="J120" i="5" s="1"/>
  <c r="G164" i="19"/>
  <c r="J164" i="5" s="1"/>
  <c r="G121" i="19"/>
  <c r="J121" i="5" s="1"/>
  <c r="J105" i="5"/>
  <c r="G166" i="9"/>
  <c r="H166" i="5" s="1"/>
  <c r="G220" i="9"/>
  <c r="H220" i="5" s="1"/>
  <c r="G90" i="16"/>
  <c r="I90" i="5" s="1"/>
  <c r="I79" i="5"/>
  <c r="G118" i="19"/>
  <c r="J118" i="5" s="1"/>
  <c r="G162" i="16"/>
  <c r="I162" i="5" s="1"/>
  <c r="G120" i="16"/>
  <c r="I120" i="5" s="1"/>
  <c r="G222" i="9"/>
  <c r="H222" i="5" s="1"/>
  <c r="G164" i="16"/>
  <c r="I164" i="5" s="1"/>
  <c r="G118" i="16"/>
  <c r="I118" i="5" s="1"/>
  <c r="G162" i="9"/>
  <c r="H162" i="5" s="1"/>
  <c r="H158" i="5"/>
  <c r="G118" i="9"/>
  <c r="H118" i="5" s="1"/>
  <c r="G164" i="9"/>
  <c r="H164" i="5" s="1"/>
  <c r="G93" i="19"/>
  <c r="J93" i="5" s="1"/>
  <c r="G91" i="19"/>
  <c r="J91" i="5" s="1"/>
  <c r="G92" i="19"/>
  <c r="J92" i="5" s="1"/>
  <c r="G223" i="19"/>
  <c r="J223" i="5" s="1"/>
  <c r="G94" i="19"/>
  <c r="J94" i="5" s="1"/>
  <c r="G221" i="19"/>
  <c r="J221" i="5" s="1"/>
  <c r="G166" i="19"/>
  <c r="J166" i="5" s="1"/>
  <c r="G219" i="19"/>
  <c r="J219" i="5" s="1"/>
  <c r="G90" i="19"/>
  <c r="J90" i="5" s="1"/>
  <c r="G222" i="19"/>
  <c r="J222" i="5" s="1"/>
  <c r="G220" i="19"/>
  <c r="J220" i="5" s="1"/>
  <c r="G119" i="19"/>
  <c r="J119" i="5" s="1"/>
  <c r="G162" i="19"/>
  <c r="J162" i="5" s="1"/>
  <c r="G165" i="19"/>
  <c r="J165" i="5" s="1"/>
  <c r="G165" i="16"/>
  <c r="I165" i="5" s="1"/>
  <c r="G147" i="16"/>
  <c r="I147" i="5" s="1"/>
  <c r="G145" i="16"/>
  <c r="I145" i="5" s="1"/>
  <c r="G143" i="16"/>
  <c r="I143" i="5" s="1"/>
  <c r="G146" i="16"/>
  <c r="I146" i="5" s="1"/>
  <c r="G144" i="16"/>
  <c r="I144" i="5" s="1"/>
  <c r="G163" i="16"/>
  <c r="I163" i="5" s="1"/>
  <c r="G166" i="16"/>
  <c r="I166" i="5" s="1"/>
  <c r="G93" i="16"/>
  <c r="I93" i="5" s="1"/>
  <c r="G91" i="16"/>
  <c r="I91" i="5" s="1"/>
  <c r="G223" i="16"/>
  <c r="I223" i="5" s="1"/>
  <c r="G221" i="16"/>
  <c r="I221" i="5" s="1"/>
  <c r="G219" i="16"/>
  <c r="I219" i="5" s="1"/>
  <c r="G222" i="16"/>
  <c r="I222" i="5" s="1"/>
  <c r="G220" i="16"/>
  <c r="I220" i="5" s="1"/>
  <c r="G119" i="16"/>
  <c r="I119" i="5" s="1"/>
  <c r="G121" i="16"/>
  <c r="I121" i="5" s="1"/>
  <c r="G92" i="16"/>
  <c r="I92" i="5" s="1"/>
  <c r="G117" i="16"/>
  <c r="I117" i="5" s="1"/>
  <c r="G253" i="9"/>
  <c r="G120" i="9"/>
  <c r="H120" i="5" s="1"/>
  <c r="G219" i="9"/>
  <c r="H219" i="5" s="1"/>
  <c r="G221" i="9"/>
  <c r="H221" i="5" s="1"/>
  <c r="G223" i="9"/>
  <c r="H223" i="5" s="1"/>
  <c r="G119" i="9"/>
  <c r="H119" i="5" s="1"/>
  <c r="G117" i="9"/>
  <c r="H117" i="5" s="1"/>
  <c r="G121" i="9"/>
  <c r="H121" i="5" s="1"/>
  <c r="G165" i="9"/>
  <c r="H165" i="5" s="1"/>
  <c r="G163" i="9"/>
  <c r="H163" i="5" s="1"/>
  <c r="G25" i="19" l="1"/>
  <c r="J25" i="5" s="1"/>
  <c r="J33" i="5" s="1"/>
  <c r="J171" i="5"/>
  <c r="I171" i="5"/>
  <c r="H171" i="5"/>
  <c r="G171" i="19"/>
  <c r="G171" i="16"/>
  <c r="G171" i="9"/>
  <c r="F60" i="2"/>
  <c r="F68" i="2"/>
  <c r="F67" i="2"/>
  <c r="F66" i="2"/>
  <c r="F58" i="2"/>
  <c r="F59" i="2"/>
  <c r="G50" i="4"/>
  <c r="G61" i="4"/>
  <c r="G58" i="4"/>
  <c r="G57" i="4"/>
  <c r="G56" i="4"/>
  <c r="G53" i="4"/>
  <c r="G49" i="4"/>
  <c r="H195" i="5" l="1"/>
  <c r="H192" i="5"/>
  <c r="E58" i="2"/>
  <c r="D58" i="2"/>
  <c r="C58" i="2"/>
  <c r="E60" i="2"/>
  <c r="D60" i="2"/>
  <c r="C60" i="2"/>
  <c r="C66" i="2"/>
  <c r="E66" i="2"/>
  <c r="D66" i="2"/>
  <c r="C67" i="2"/>
  <c r="D67" i="2"/>
  <c r="E67" i="2"/>
  <c r="C59" i="2"/>
  <c r="D59" i="2"/>
  <c r="E59" i="2"/>
  <c r="C68" i="2"/>
  <c r="D68" i="2"/>
  <c r="E68" i="2"/>
  <c r="G33" i="19"/>
  <c r="H217" i="5"/>
  <c r="H196" i="5"/>
  <c r="H266" i="5"/>
  <c r="H272" i="5"/>
  <c r="H336" i="5"/>
  <c r="H210" i="5"/>
  <c r="H271" i="5"/>
  <c r="H267" i="5"/>
  <c r="H273" i="5"/>
  <c r="H84" i="5"/>
  <c r="H269" i="5"/>
  <c r="H194" i="5"/>
  <c r="H214" i="5"/>
  <c r="H268" i="5"/>
  <c r="H274" i="5"/>
  <c r="G30" i="4"/>
  <c r="G26" i="4"/>
  <c r="J84" i="5" l="1"/>
  <c r="I84" i="5"/>
  <c r="J267" i="5"/>
  <c r="I267" i="5"/>
  <c r="J210" i="5"/>
  <c r="I210" i="5"/>
  <c r="J336" i="5"/>
  <c r="I336" i="5"/>
  <c r="J272" i="5"/>
  <c r="I272" i="5"/>
  <c r="H311" i="5"/>
  <c r="H175" i="5"/>
  <c r="H188" i="5" s="1"/>
  <c r="G188" i="9"/>
  <c r="J274" i="5"/>
  <c r="I274" i="5"/>
  <c r="H258" i="5"/>
  <c r="H285" i="5" s="1"/>
  <c r="G285" i="9"/>
  <c r="I194" i="5"/>
  <c r="J268" i="5"/>
  <c r="I268" i="5"/>
  <c r="J214" i="5"/>
  <c r="I214" i="5"/>
  <c r="J269" i="5"/>
  <c r="I269" i="5"/>
  <c r="J273" i="5"/>
  <c r="I273" i="5"/>
  <c r="J271" i="5"/>
  <c r="I271" i="5"/>
  <c r="I192" i="5"/>
  <c r="I195" i="5"/>
  <c r="J266" i="5"/>
  <c r="I266" i="5"/>
  <c r="I196" i="5"/>
  <c r="J217" i="5"/>
  <c r="I217" i="5"/>
  <c r="G16" i="4"/>
  <c r="J195" i="5" l="1"/>
  <c r="J196" i="5"/>
  <c r="J192" i="5"/>
  <c r="J194" i="5"/>
  <c r="J175" i="5"/>
  <c r="J188" i="5" s="1"/>
  <c r="G188" i="19"/>
  <c r="I258" i="5"/>
  <c r="I285" i="5" s="1"/>
  <c r="G285" i="16"/>
  <c r="I311" i="5"/>
  <c r="I175" i="5"/>
  <c r="I188" i="5" s="1"/>
  <c r="G188" i="16"/>
  <c r="J258" i="5"/>
  <c r="J285" i="5" s="1"/>
  <c r="G285" i="19"/>
  <c r="J311" i="5"/>
  <c r="I209" i="4"/>
  <c r="I207" i="4"/>
  <c r="I160" i="4"/>
  <c r="G160" i="4" s="1"/>
  <c r="I159" i="4"/>
  <c r="I158" i="4"/>
  <c r="I132" i="4"/>
  <c r="I79" i="4"/>
  <c r="B95" i="2"/>
  <c r="J256" i="6" l="1"/>
  <c r="Q256" i="6"/>
  <c r="L256" i="6"/>
  <c r="O256" i="6"/>
  <c r="M256" i="6"/>
  <c r="S256" i="6"/>
  <c r="R256" i="6"/>
  <c r="K256" i="6"/>
  <c r="N256" i="6"/>
  <c r="P256" i="6"/>
  <c r="G79" i="4"/>
  <c r="H139" i="5"/>
  <c r="H113" i="5"/>
  <c r="H87" i="5"/>
  <c r="H114" i="5"/>
  <c r="H142" i="5"/>
  <c r="H86" i="5"/>
  <c r="H140" i="5"/>
  <c r="H88" i="5"/>
  <c r="H193" i="5"/>
  <c r="E72" i="2"/>
  <c r="I193" i="5" l="1"/>
  <c r="J88" i="5"/>
  <c r="I88" i="5"/>
  <c r="J86" i="5"/>
  <c r="I86" i="5"/>
  <c r="J114" i="5"/>
  <c r="I114" i="5"/>
  <c r="H135" i="5"/>
  <c r="H153" i="5" s="1"/>
  <c r="G153" i="9"/>
  <c r="J139" i="5"/>
  <c r="I139" i="5"/>
  <c r="J140" i="5"/>
  <c r="I140" i="5"/>
  <c r="J142" i="5"/>
  <c r="I142" i="5"/>
  <c r="J87" i="5"/>
  <c r="I87" i="5"/>
  <c r="J113" i="5"/>
  <c r="I113" i="5"/>
  <c r="H82" i="5"/>
  <c r="H100" i="5" s="1"/>
  <c r="G100" i="9"/>
  <c r="H109" i="5"/>
  <c r="H127" i="5" s="1"/>
  <c r="G127" i="9"/>
  <c r="H215" i="5"/>
  <c r="J292" i="5"/>
  <c r="J307" i="5" s="1"/>
  <c r="G307" i="19"/>
  <c r="D72" i="2"/>
  <c r="C72" i="2"/>
  <c r="J193" i="5" l="1"/>
  <c r="H154" i="5"/>
  <c r="I109" i="5"/>
  <c r="I127" i="5" s="1"/>
  <c r="G127" i="16"/>
  <c r="J109" i="5"/>
  <c r="J127" i="5" s="1"/>
  <c r="G127" i="19"/>
  <c r="J215" i="5"/>
  <c r="I215" i="5"/>
  <c r="I82" i="5"/>
  <c r="I100" i="5" s="1"/>
  <c r="G100" i="16"/>
  <c r="G154" i="9"/>
  <c r="I135" i="5"/>
  <c r="I153" i="5" s="1"/>
  <c r="G153" i="16"/>
  <c r="H312" i="5"/>
  <c r="H323" i="5" s="1"/>
  <c r="G323" i="9"/>
  <c r="J82" i="5"/>
  <c r="G100" i="19"/>
  <c r="J135" i="5"/>
  <c r="J153" i="5" s="1"/>
  <c r="G153" i="19"/>
  <c r="H292" i="5"/>
  <c r="H307" i="5" s="1"/>
  <c r="G307" i="9"/>
  <c r="I292" i="5"/>
  <c r="I307" i="5" s="1"/>
  <c r="G307" i="16"/>
  <c r="G154" i="16" l="1"/>
  <c r="I154" i="5"/>
  <c r="G154" i="19"/>
  <c r="J312" i="5"/>
  <c r="J323" i="5" s="1"/>
  <c r="G323" i="19"/>
  <c r="K82" i="5"/>
  <c r="J100" i="5"/>
  <c r="J154" i="5" s="1"/>
  <c r="I312" i="5"/>
  <c r="I323" i="5" s="1"/>
  <c r="G323" i="16"/>
  <c r="M159" i="5"/>
  <c r="K159" i="5" s="1"/>
  <c r="G159" i="4" l="1"/>
  <c r="H157" i="6" l="1"/>
  <c r="S157" i="6"/>
  <c r="O157" i="6"/>
  <c r="K157" i="6"/>
  <c r="P157" i="6"/>
  <c r="R157" i="6"/>
  <c r="N157" i="6"/>
  <c r="J157" i="6"/>
  <c r="I157" i="6"/>
  <c r="Q157" i="6"/>
  <c r="M157" i="6"/>
  <c r="L157" i="6"/>
  <c r="B6" i="2"/>
  <c r="B60" i="2" l="1"/>
  <c r="B57" i="2"/>
  <c r="B58" i="2"/>
  <c r="B59" i="2"/>
  <c r="G270" i="4"/>
  <c r="B68" i="2"/>
  <c r="B65" i="2"/>
  <c r="B66" i="2"/>
  <c r="B67" i="2"/>
  <c r="G11" i="4"/>
  <c r="B72" i="2"/>
  <c r="G47" i="19" l="1"/>
  <c r="J47" i="5" s="1"/>
  <c r="Q107" i="6"/>
  <c r="M107" i="6"/>
  <c r="P107" i="6"/>
  <c r="L107" i="6"/>
  <c r="S107" i="6"/>
  <c r="O107" i="6"/>
  <c r="K107" i="6"/>
  <c r="R107" i="6"/>
  <c r="N107" i="6"/>
  <c r="J107" i="6"/>
  <c r="S133" i="6"/>
  <c r="O133" i="6"/>
  <c r="K133" i="6"/>
  <c r="R133" i="6"/>
  <c r="N133" i="6"/>
  <c r="J133" i="6"/>
  <c r="Q133" i="6"/>
  <c r="M133" i="6"/>
  <c r="P133" i="6"/>
  <c r="L133" i="6"/>
  <c r="Q290" i="6"/>
  <c r="M290" i="6"/>
  <c r="O290" i="6"/>
  <c r="P290" i="6"/>
  <c r="L290" i="6"/>
  <c r="S290" i="6"/>
  <c r="K290" i="6"/>
  <c r="R290" i="6"/>
  <c r="N290" i="6"/>
  <c r="J290" i="6"/>
  <c r="Q140" i="6"/>
  <c r="M140" i="6"/>
  <c r="O140" i="6"/>
  <c r="P140" i="6"/>
  <c r="L140" i="6"/>
  <c r="S140" i="6"/>
  <c r="K140" i="6"/>
  <c r="R140" i="6"/>
  <c r="N140" i="6"/>
  <c r="J140" i="6"/>
  <c r="G332" i="19"/>
  <c r="G25" i="16"/>
  <c r="G47" i="16"/>
  <c r="G332" i="16"/>
  <c r="G47" i="9"/>
  <c r="G332" i="9"/>
  <c r="G25" i="9"/>
  <c r="G47" i="4"/>
  <c r="G332" i="4"/>
  <c r="C19" i="2"/>
  <c r="G65" i="19" l="1"/>
  <c r="S330" i="6"/>
  <c r="O330" i="6"/>
  <c r="K330" i="6"/>
  <c r="M330" i="6"/>
  <c r="R330" i="6"/>
  <c r="N330" i="6"/>
  <c r="J330" i="6"/>
  <c r="Q330" i="6"/>
  <c r="P330" i="6"/>
  <c r="L330" i="6"/>
  <c r="J45" i="6"/>
  <c r="N45" i="6"/>
  <c r="R45" i="6"/>
  <c r="K45" i="6"/>
  <c r="O45" i="6"/>
  <c r="S45" i="6"/>
  <c r="L45" i="6"/>
  <c r="P45" i="6"/>
  <c r="M45" i="6"/>
  <c r="Q45" i="6"/>
  <c r="D19" i="2"/>
  <c r="G11" i="9"/>
  <c r="K47" i="5"/>
  <c r="J65" i="5"/>
  <c r="J332" i="5"/>
  <c r="J349" i="5" s="1"/>
  <c r="J367" i="5" s="1"/>
  <c r="G349" i="19"/>
  <c r="G367" i="19" s="1"/>
  <c r="I332" i="5"/>
  <c r="I349" i="5" s="1"/>
  <c r="I367" i="5" s="1"/>
  <c r="G349" i="16"/>
  <c r="G367" i="16" s="1"/>
  <c r="I25" i="5"/>
  <c r="I33" i="5" s="1"/>
  <c r="G33" i="16"/>
  <c r="I47" i="5"/>
  <c r="I65" i="5" s="1"/>
  <c r="G65" i="16"/>
  <c r="H332" i="5"/>
  <c r="H349" i="5" s="1"/>
  <c r="H367" i="5" s="1"/>
  <c r="G349" i="9"/>
  <c r="G367" i="9" s="1"/>
  <c r="H47" i="5"/>
  <c r="H65" i="5" s="1"/>
  <c r="G65" i="9"/>
  <c r="H198" i="5"/>
  <c r="H25" i="5"/>
  <c r="H33" i="5" s="1"/>
  <c r="G33" i="9"/>
  <c r="E1" i="6"/>
  <c r="D1" i="5"/>
  <c r="D1" i="4"/>
  <c r="H11" i="5" l="1"/>
  <c r="H21" i="5" s="1"/>
  <c r="H70" i="5" s="1"/>
  <c r="G21" i="9"/>
  <c r="G70" i="9" s="1"/>
  <c r="E19" i="2"/>
  <c r="K11" i="5" s="1"/>
  <c r="G11" i="16"/>
  <c r="I198" i="5"/>
  <c r="H201" i="4"/>
  <c r="H198" i="4"/>
  <c r="I11" i="5" l="1"/>
  <c r="I21" i="5" s="1"/>
  <c r="I70" i="5" s="1"/>
  <c r="G21" i="16"/>
  <c r="G70" i="16" s="1"/>
  <c r="G203" i="16" s="1"/>
  <c r="G11" i="19"/>
  <c r="J2" i="2"/>
  <c r="G228" i="9"/>
  <c r="H201" i="5"/>
  <c r="H203" i="5" s="1"/>
  <c r="G203" i="9"/>
  <c r="M332" i="5"/>
  <c r="K332" i="5" s="1"/>
  <c r="I201" i="5" l="1"/>
  <c r="I203" i="5" s="1"/>
  <c r="J11" i="5"/>
  <c r="G21" i="19"/>
  <c r="G70" i="19" s="1"/>
  <c r="H218" i="5"/>
  <c r="H228" i="5" s="1"/>
  <c r="H326" i="5" s="1"/>
  <c r="H391" i="5" s="1"/>
  <c r="J198" i="5"/>
  <c r="K2" i="2"/>
  <c r="I71" i="5"/>
  <c r="G326" i="9"/>
  <c r="G391" i="9" s="1"/>
  <c r="G400" i="9" s="1"/>
  <c r="L198" i="5"/>
  <c r="L201" i="5"/>
  <c r="M336" i="5"/>
  <c r="K336" i="5" s="1"/>
  <c r="M312" i="5"/>
  <c r="K312" i="5" s="1"/>
  <c r="M311" i="5"/>
  <c r="K311" i="5" s="1"/>
  <c r="M292" i="5"/>
  <c r="K292" i="5" s="1"/>
  <c r="M274" i="5"/>
  <c r="K274" i="5" s="1"/>
  <c r="M273" i="5"/>
  <c r="K273" i="5" s="1"/>
  <c r="M272" i="5"/>
  <c r="K272" i="5" s="1"/>
  <c r="M270" i="5"/>
  <c r="K270" i="5" s="1"/>
  <c r="M269" i="5"/>
  <c r="K269" i="5" s="1"/>
  <c r="M268" i="5"/>
  <c r="K268" i="5" s="1"/>
  <c r="M267" i="5"/>
  <c r="K267" i="5" s="1"/>
  <c r="M266" i="5"/>
  <c r="K266" i="5" s="1"/>
  <c r="M258" i="5"/>
  <c r="K258" i="5" s="1"/>
  <c r="M256" i="5"/>
  <c r="K256" i="5" s="1"/>
  <c r="M234" i="5"/>
  <c r="K234" i="5" s="1"/>
  <c r="M218" i="5"/>
  <c r="M217" i="5"/>
  <c r="K217" i="5" s="1"/>
  <c r="M215" i="5"/>
  <c r="K215" i="5" s="1"/>
  <c r="M214" i="5"/>
  <c r="K214" i="5" s="1"/>
  <c r="M210" i="5"/>
  <c r="K210" i="5" s="1"/>
  <c r="M209" i="5"/>
  <c r="K209" i="5" s="1"/>
  <c r="M208" i="5"/>
  <c r="K208" i="5" s="1"/>
  <c r="M207" i="5"/>
  <c r="K207" i="5" s="1"/>
  <c r="M196" i="5"/>
  <c r="K196" i="5" s="1"/>
  <c r="M195" i="5"/>
  <c r="K195" i="5" s="1"/>
  <c r="M194" i="5"/>
  <c r="K194" i="5" s="1"/>
  <c r="M192" i="5"/>
  <c r="K192" i="5" s="1"/>
  <c r="M175" i="5"/>
  <c r="K175" i="5" s="1"/>
  <c r="M161" i="5"/>
  <c r="K161" i="5" s="1"/>
  <c r="M160" i="5"/>
  <c r="K160" i="5" s="1"/>
  <c r="M158" i="5"/>
  <c r="K158" i="5" s="1"/>
  <c r="M142" i="5"/>
  <c r="K142" i="5" s="1"/>
  <c r="M140" i="5"/>
  <c r="K140" i="5" s="1"/>
  <c r="M139" i="5"/>
  <c r="K139" i="5" s="1"/>
  <c r="M135" i="5"/>
  <c r="K135" i="5" s="1"/>
  <c r="M132" i="5"/>
  <c r="K132" i="5" s="1"/>
  <c r="M114" i="5"/>
  <c r="K114" i="5" s="1"/>
  <c r="M113" i="5"/>
  <c r="K113" i="5" s="1"/>
  <c r="M109" i="5"/>
  <c r="K109" i="5" s="1"/>
  <c r="M88" i="5"/>
  <c r="K88" i="5" s="1"/>
  <c r="M87" i="5"/>
  <c r="K87" i="5" s="1"/>
  <c r="M86" i="5"/>
  <c r="K86" i="5" s="1"/>
  <c r="M84" i="5"/>
  <c r="K84" i="5" s="1"/>
  <c r="M107" i="5"/>
  <c r="K107" i="5" s="1"/>
  <c r="M106" i="5"/>
  <c r="K106" i="5" s="1"/>
  <c r="M105" i="5"/>
  <c r="K105" i="5" s="1"/>
  <c r="I218" i="5" l="1"/>
  <c r="I228" i="5" s="1"/>
  <c r="I326" i="5" s="1"/>
  <c r="I391" i="5" s="1"/>
  <c r="I392" i="5" s="1"/>
  <c r="G228" i="16"/>
  <c r="G326" i="16" s="1"/>
  <c r="G391" i="16" s="1"/>
  <c r="G400" i="16" s="1"/>
  <c r="J21" i="5"/>
  <c r="J70" i="5" s="1"/>
  <c r="K198" i="5"/>
  <c r="H400" i="5"/>
  <c r="H401" i="5" s="1"/>
  <c r="H404" i="5" s="1"/>
  <c r="J4" i="2"/>
  <c r="H61" i="6"/>
  <c r="G63" i="5"/>
  <c r="U394" i="6"/>
  <c r="U387" i="6"/>
  <c r="U376" i="6"/>
  <c r="U362" i="6"/>
  <c r="U347" i="6"/>
  <c r="U321" i="6"/>
  <c r="U305" i="6"/>
  <c r="U283" i="6"/>
  <c r="U251" i="6"/>
  <c r="U186" i="6"/>
  <c r="U169" i="6"/>
  <c r="U19" i="6"/>
  <c r="V322" i="6"/>
  <c r="V323" i="6"/>
  <c r="V325" i="6"/>
  <c r="V348" i="6"/>
  <c r="V349" i="6"/>
  <c r="V363" i="6"/>
  <c r="V377" i="6"/>
  <c r="V388" i="6"/>
  <c r="V390" i="6"/>
  <c r="V395" i="6"/>
  <c r="S334" i="6"/>
  <c r="R334" i="6"/>
  <c r="Q334" i="6"/>
  <c r="P334" i="6"/>
  <c r="O334" i="6"/>
  <c r="N334" i="6"/>
  <c r="M334" i="6"/>
  <c r="L334" i="6"/>
  <c r="K334" i="6"/>
  <c r="J334" i="6"/>
  <c r="I334" i="6"/>
  <c r="H334" i="6"/>
  <c r="S310" i="6"/>
  <c r="R310" i="6"/>
  <c r="Q310" i="6"/>
  <c r="P310" i="6"/>
  <c r="O310" i="6"/>
  <c r="N310" i="6"/>
  <c r="M310" i="6"/>
  <c r="L310" i="6"/>
  <c r="K310" i="6"/>
  <c r="J310" i="6"/>
  <c r="I310" i="6"/>
  <c r="H310" i="6"/>
  <c r="S309" i="6"/>
  <c r="R309" i="6"/>
  <c r="Q309" i="6"/>
  <c r="P309" i="6"/>
  <c r="O309" i="6"/>
  <c r="N309" i="6"/>
  <c r="M309" i="6"/>
  <c r="L309" i="6"/>
  <c r="K309" i="6"/>
  <c r="J309" i="6"/>
  <c r="I309" i="6"/>
  <c r="H309" i="6"/>
  <c r="S272" i="6"/>
  <c r="R272" i="6"/>
  <c r="Q272" i="6"/>
  <c r="P272" i="6"/>
  <c r="O272" i="6"/>
  <c r="N272" i="6"/>
  <c r="M272" i="6"/>
  <c r="L272" i="6"/>
  <c r="K272" i="6"/>
  <c r="J272" i="6"/>
  <c r="I272" i="6"/>
  <c r="H272" i="6"/>
  <c r="S271" i="6"/>
  <c r="R271" i="6"/>
  <c r="Q271" i="6"/>
  <c r="P271" i="6"/>
  <c r="O271" i="6"/>
  <c r="N271" i="6"/>
  <c r="M271" i="6"/>
  <c r="L271" i="6"/>
  <c r="K271" i="6"/>
  <c r="J271" i="6"/>
  <c r="I271" i="6"/>
  <c r="H271" i="6"/>
  <c r="S270" i="6"/>
  <c r="R270" i="6"/>
  <c r="Q270" i="6"/>
  <c r="P270" i="6"/>
  <c r="O270" i="6"/>
  <c r="N270" i="6"/>
  <c r="M270" i="6"/>
  <c r="L270" i="6"/>
  <c r="K270" i="6"/>
  <c r="J270" i="6"/>
  <c r="I270" i="6"/>
  <c r="H270" i="6"/>
  <c r="S267" i="6"/>
  <c r="R267" i="6"/>
  <c r="Q267" i="6"/>
  <c r="P267" i="6"/>
  <c r="O267" i="6"/>
  <c r="N267" i="6"/>
  <c r="M267" i="6"/>
  <c r="L267" i="6"/>
  <c r="K267" i="6"/>
  <c r="J267" i="6"/>
  <c r="I267" i="6"/>
  <c r="H267" i="6"/>
  <c r="S266" i="6"/>
  <c r="R266" i="6"/>
  <c r="Q266" i="6"/>
  <c r="P266" i="6"/>
  <c r="O266" i="6"/>
  <c r="N266" i="6"/>
  <c r="M266" i="6"/>
  <c r="L266" i="6"/>
  <c r="K266" i="6"/>
  <c r="J266" i="6"/>
  <c r="I266" i="6"/>
  <c r="H266" i="6"/>
  <c r="S265" i="6"/>
  <c r="R265" i="6"/>
  <c r="Q265" i="6"/>
  <c r="P265" i="6"/>
  <c r="O265" i="6"/>
  <c r="N265" i="6"/>
  <c r="M265" i="6"/>
  <c r="L265" i="6"/>
  <c r="K265" i="6"/>
  <c r="J265" i="6"/>
  <c r="I265" i="6"/>
  <c r="H265" i="6"/>
  <c r="S264" i="6"/>
  <c r="R264" i="6"/>
  <c r="Q264" i="6"/>
  <c r="P264" i="6"/>
  <c r="O264" i="6"/>
  <c r="N264" i="6"/>
  <c r="M264" i="6"/>
  <c r="L264" i="6"/>
  <c r="K264" i="6"/>
  <c r="J264" i="6"/>
  <c r="I264" i="6"/>
  <c r="H264" i="6"/>
  <c r="U213" i="6"/>
  <c r="S213" i="6"/>
  <c r="R213" i="6"/>
  <c r="Q213" i="6"/>
  <c r="P213" i="6"/>
  <c r="O213" i="6"/>
  <c r="N213" i="6"/>
  <c r="M213" i="6"/>
  <c r="L213" i="6"/>
  <c r="K213" i="6"/>
  <c r="J213" i="6"/>
  <c r="I213" i="6"/>
  <c r="H213" i="6"/>
  <c r="S215" i="6"/>
  <c r="R215" i="6"/>
  <c r="Q215" i="6"/>
  <c r="P215" i="6"/>
  <c r="O215" i="6"/>
  <c r="N215" i="6"/>
  <c r="M215" i="6"/>
  <c r="L215" i="6"/>
  <c r="K215" i="6"/>
  <c r="J215" i="6"/>
  <c r="I215" i="6"/>
  <c r="H215" i="6"/>
  <c r="S212" i="6"/>
  <c r="R212" i="6"/>
  <c r="Q212" i="6"/>
  <c r="P212" i="6"/>
  <c r="O212" i="6"/>
  <c r="N212" i="6"/>
  <c r="M212" i="6"/>
  <c r="L212" i="6"/>
  <c r="K212" i="6"/>
  <c r="J212" i="6"/>
  <c r="I212" i="6"/>
  <c r="H212" i="6"/>
  <c r="S208" i="6"/>
  <c r="R208" i="6"/>
  <c r="Q208" i="6"/>
  <c r="P208" i="6"/>
  <c r="O208" i="6"/>
  <c r="N208" i="6"/>
  <c r="M208" i="6"/>
  <c r="L208" i="6"/>
  <c r="K208" i="6"/>
  <c r="J208" i="6"/>
  <c r="I208" i="6"/>
  <c r="H208" i="6"/>
  <c r="S194" i="6"/>
  <c r="R194" i="6"/>
  <c r="Q194" i="6"/>
  <c r="P194" i="6"/>
  <c r="O194" i="6"/>
  <c r="N194" i="6"/>
  <c r="M194" i="6"/>
  <c r="L194" i="6"/>
  <c r="K194" i="6"/>
  <c r="J194" i="6"/>
  <c r="I194" i="6"/>
  <c r="H194" i="6"/>
  <c r="S193" i="6"/>
  <c r="R193" i="6"/>
  <c r="Q193" i="6"/>
  <c r="P193" i="6"/>
  <c r="O193" i="6"/>
  <c r="N193" i="6"/>
  <c r="M193" i="6"/>
  <c r="L193" i="6"/>
  <c r="K193" i="6"/>
  <c r="J193" i="6"/>
  <c r="I193" i="6"/>
  <c r="H193" i="6"/>
  <c r="U192" i="6"/>
  <c r="U201" i="6" s="1"/>
  <c r="S192" i="6"/>
  <c r="R192" i="6"/>
  <c r="Q192" i="6"/>
  <c r="P192" i="6"/>
  <c r="O192" i="6"/>
  <c r="N192" i="6"/>
  <c r="M192" i="6"/>
  <c r="L192" i="6"/>
  <c r="K192" i="6"/>
  <c r="J192" i="6"/>
  <c r="I192" i="6"/>
  <c r="H192" i="6"/>
  <c r="S190" i="6"/>
  <c r="R190" i="6"/>
  <c r="Q190" i="6"/>
  <c r="P190" i="6"/>
  <c r="O190" i="6"/>
  <c r="N190" i="6"/>
  <c r="M190" i="6"/>
  <c r="L190" i="6"/>
  <c r="K190" i="6"/>
  <c r="J190" i="6"/>
  <c r="I190" i="6"/>
  <c r="H190" i="6"/>
  <c r="H173" i="6"/>
  <c r="I173" i="6"/>
  <c r="J173" i="6"/>
  <c r="K173" i="6"/>
  <c r="L173" i="6"/>
  <c r="M173" i="6"/>
  <c r="N173" i="6"/>
  <c r="O173" i="6"/>
  <c r="P173" i="6"/>
  <c r="Q173" i="6"/>
  <c r="R173" i="6"/>
  <c r="S173" i="6"/>
  <c r="I140" i="6"/>
  <c r="H140" i="6"/>
  <c r="U138" i="6"/>
  <c r="S138" i="6"/>
  <c r="R138" i="6"/>
  <c r="Q138" i="6"/>
  <c r="P138" i="6"/>
  <c r="O138" i="6"/>
  <c r="N138" i="6"/>
  <c r="L138" i="6"/>
  <c r="K138" i="6"/>
  <c r="J138" i="6"/>
  <c r="I138" i="6"/>
  <c r="H138" i="6"/>
  <c r="U137" i="6"/>
  <c r="U151" i="6" s="1"/>
  <c r="S137" i="6"/>
  <c r="R137" i="6"/>
  <c r="Q137" i="6"/>
  <c r="P137" i="6"/>
  <c r="O137" i="6"/>
  <c r="N137" i="6"/>
  <c r="M137" i="6"/>
  <c r="L137" i="6"/>
  <c r="K137" i="6"/>
  <c r="J137" i="6"/>
  <c r="I137" i="6"/>
  <c r="H137" i="6"/>
  <c r="I133" i="6"/>
  <c r="H133" i="6"/>
  <c r="U112" i="6"/>
  <c r="S112" i="6"/>
  <c r="R112" i="6"/>
  <c r="Q112" i="6"/>
  <c r="P112" i="6"/>
  <c r="O112" i="6"/>
  <c r="N112" i="6"/>
  <c r="L112" i="6"/>
  <c r="K112" i="6"/>
  <c r="J112" i="6"/>
  <c r="I112" i="6"/>
  <c r="H112" i="6"/>
  <c r="U111" i="6"/>
  <c r="U125" i="6" s="1"/>
  <c r="S111" i="6"/>
  <c r="R111" i="6"/>
  <c r="Q111" i="6"/>
  <c r="P111" i="6"/>
  <c r="O111" i="6"/>
  <c r="N111" i="6"/>
  <c r="M111" i="6"/>
  <c r="L111" i="6"/>
  <c r="K111" i="6"/>
  <c r="J111" i="6"/>
  <c r="I111" i="6"/>
  <c r="H111" i="6"/>
  <c r="I290" i="6"/>
  <c r="H290" i="6"/>
  <c r="I256" i="6"/>
  <c r="H256" i="6"/>
  <c r="I107" i="6"/>
  <c r="H107" i="6"/>
  <c r="U86" i="6"/>
  <c r="S86" i="6"/>
  <c r="R86" i="6"/>
  <c r="Q86" i="6"/>
  <c r="P86" i="6"/>
  <c r="O86" i="6"/>
  <c r="N86" i="6"/>
  <c r="L86" i="6"/>
  <c r="K86" i="6"/>
  <c r="J86" i="6"/>
  <c r="I86" i="6"/>
  <c r="H86" i="6"/>
  <c r="U85" i="6"/>
  <c r="N85" i="6"/>
  <c r="I85" i="6"/>
  <c r="H85" i="6"/>
  <c r="S85" i="6"/>
  <c r="R85" i="6"/>
  <c r="Q85" i="6"/>
  <c r="P85" i="6"/>
  <c r="O85" i="6"/>
  <c r="L85" i="6"/>
  <c r="K85" i="6"/>
  <c r="J85" i="6"/>
  <c r="U84" i="6"/>
  <c r="U98" i="6" s="1"/>
  <c r="S84" i="6"/>
  <c r="R84" i="6"/>
  <c r="Q84" i="6"/>
  <c r="P84" i="6"/>
  <c r="O84" i="6"/>
  <c r="N84" i="6"/>
  <c r="M84" i="6"/>
  <c r="L84" i="6"/>
  <c r="K84" i="6"/>
  <c r="J84" i="6"/>
  <c r="I84" i="6"/>
  <c r="H84" i="6"/>
  <c r="S82" i="6"/>
  <c r="R82" i="6"/>
  <c r="Q82" i="6"/>
  <c r="P82" i="6"/>
  <c r="O82" i="6"/>
  <c r="N82" i="6"/>
  <c r="M82" i="6"/>
  <c r="L82" i="6"/>
  <c r="K82" i="6"/>
  <c r="J82" i="6"/>
  <c r="I82" i="6"/>
  <c r="H82" i="6"/>
  <c r="K80" i="6"/>
  <c r="L80" i="6"/>
  <c r="M80" i="6"/>
  <c r="N80" i="6"/>
  <c r="O80" i="6"/>
  <c r="P80" i="6"/>
  <c r="Q80" i="6"/>
  <c r="R80" i="6"/>
  <c r="S80" i="6"/>
  <c r="J80" i="6"/>
  <c r="I80" i="6"/>
  <c r="H80" i="6"/>
  <c r="K4" i="2" l="1"/>
  <c r="I400" i="5"/>
  <c r="I403" i="5" s="1"/>
  <c r="J201" i="5"/>
  <c r="J203" i="5" s="1"/>
  <c r="G203" i="19"/>
  <c r="J71" i="5"/>
  <c r="L2" i="2"/>
  <c r="J218" i="5"/>
  <c r="G228" i="19"/>
  <c r="H403" i="5"/>
  <c r="T86" i="6"/>
  <c r="V86" i="6" s="1"/>
  <c r="T138" i="6"/>
  <c r="V138" i="6" s="1"/>
  <c r="T213" i="6"/>
  <c r="V213" i="6" s="1"/>
  <c r="T137" i="6"/>
  <c r="V137" i="6" s="1"/>
  <c r="T112" i="6"/>
  <c r="V112" i="6" s="1"/>
  <c r="T111" i="6"/>
  <c r="V111" i="6" s="1"/>
  <c r="I61" i="6"/>
  <c r="J61" i="6" s="1"/>
  <c r="K61" i="6" s="1"/>
  <c r="L61" i="6" s="1"/>
  <c r="M61" i="6" s="1"/>
  <c r="N61" i="6" s="1"/>
  <c r="O61" i="6" s="1"/>
  <c r="P61" i="6" s="1"/>
  <c r="Q61" i="6" s="1"/>
  <c r="R61" i="6" s="1"/>
  <c r="S61" i="6" s="1"/>
  <c r="U152" i="6"/>
  <c r="U365" i="6"/>
  <c r="T85" i="6"/>
  <c r="V85" i="6" s="1"/>
  <c r="H383" i="6"/>
  <c r="H382" i="6"/>
  <c r="H381" i="6"/>
  <c r="H380" i="6"/>
  <c r="H371" i="6"/>
  <c r="H370" i="6"/>
  <c r="H369" i="6"/>
  <c r="H368" i="6"/>
  <c r="H367" i="6"/>
  <c r="H358" i="6"/>
  <c r="H357" i="6"/>
  <c r="H356" i="6"/>
  <c r="H355" i="6"/>
  <c r="H354" i="6"/>
  <c r="H353" i="6"/>
  <c r="H352" i="6"/>
  <c r="H351" i="6"/>
  <c r="H343" i="6"/>
  <c r="H342" i="6"/>
  <c r="H341" i="6"/>
  <c r="H340" i="6"/>
  <c r="H339" i="6"/>
  <c r="H338" i="6"/>
  <c r="H337" i="6"/>
  <c r="H336" i="6"/>
  <c r="H335" i="6"/>
  <c r="H333" i="6"/>
  <c r="H332" i="6"/>
  <c r="H331" i="6"/>
  <c r="H329" i="6"/>
  <c r="H328" i="6"/>
  <c r="H318" i="6"/>
  <c r="H317" i="6"/>
  <c r="H316" i="6"/>
  <c r="H315" i="6"/>
  <c r="H314" i="6"/>
  <c r="H313" i="6"/>
  <c r="H312" i="6"/>
  <c r="H311" i="6"/>
  <c r="H301" i="6"/>
  <c r="H300" i="6"/>
  <c r="H299" i="6"/>
  <c r="H298" i="6"/>
  <c r="H297" i="6"/>
  <c r="H296" i="6"/>
  <c r="H295" i="6"/>
  <c r="H294" i="6"/>
  <c r="H293" i="6"/>
  <c r="H292" i="6"/>
  <c r="H291" i="6"/>
  <c r="H289" i="6"/>
  <c r="H288" i="6"/>
  <c r="H286" i="6"/>
  <c r="H279" i="6"/>
  <c r="H273" i="6"/>
  <c r="H269" i="6"/>
  <c r="H263" i="6"/>
  <c r="H261" i="6"/>
  <c r="H260" i="6"/>
  <c r="H259" i="6"/>
  <c r="H258" i="6"/>
  <c r="H257" i="6"/>
  <c r="H255" i="6"/>
  <c r="H248" i="6"/>
  <c r="H247" i="6"/>
  <c r="H246" i="6"/>
  <c r="H245" i="6"/>
  <c r="H244" i="6"/>
  <c r="H243" i="6"/>
  <c r="H242" i="6"/>
  <c r="H241" i="6"/>
  <c r="H240" i="6"/>
  <c r="H239" i="6"/>
  <c r="H238" i="6"/>
  <c r="H237" i="6"/>
  <c r="H236" i="6"/>
  <c r="H235" i="6"/>
  <c r="H234" i="6"/>
  <c r="H233" i="6"/>
  <c r="H231" i="6"/>
  <c r="H222" i="6"/>
  <c r="H214" i="6"/>
  <c r="H211" i="6"/>
  <c r="H210" i="6"/>
  <c r="H209" i="6"/>
  <c r="H197" i="6"/>
  <c r="H195" i="6"/>
  <c r="H191" i="6"/>
  <c r="H182" i="6"/>
  <c r="H181" i="6"/>
  <c r="H180" i="6"/>
  <c r="H179" i="6"/>
  <c r="H178" i="6"/>
  <c r="H177" i="6"/>
  <c r="H176" i="6"/>
  <c r="H175" i="6"/>
  <c r="H174" i="6"/>
  <c r="H172" i="6"/>
  <c r="H165" i="6"/>
  <c r="H146" i="6"/>
  <c r="H139" i="6"/>
  <c r="H135" i="6"/>
  <c r="H134" i="6"/>
  <c r="H132" i="6"/>
  <c r="H131" i="6"/>
  <c r="H120" i="6"/>
  <c r="H114" i="6"/>
  <c r="H113" i="6"/>
  <c r="H109" i="6"/>
  <c r="H108" i="6"/>
  <c r="H106" i="6"/>
  <c r="H93" i="6"/>
  <c r="H87" i="6"/>
  <c r="H81" i="6"/>
  <c r="H79" i="6"/>
  <c r="H78" i="6"/>
  <c r="H66" i="6"/>
  <c r="H57" i="6"/>
  <c r="H53" i="6"/>
  <c r="H52" i="6"/>
  <c r="H49" i="6"/>
  <c r="H43" i="6"/>
  <c r="H41" i="6"/>
  <c r="H27" i="6"/>
  <c r="H26" i="6"/>
  <c r="H16" i="6"/>
  <c r="H15" i="6"/>
  <c r="H12" i="6"/>
  <c r="H11" i="6"/>
  <c r="H10" i="6"/>
  <c r="I401" i="5" l="1"/>
  <c r="I404" i="5" s="1"/>
  <c r="J228" i="5"/>
  <c r="J326" i="5" s="1"/>
  <c r="J391" i="5" s="1"/>
  <c r="K218" i="5"/>
  <c r="G326" i="19"/>
  <c r="G391" i="19" s="1"/>
  <c r="G400" i="19" s="1"/>
  <c r="T61" i="6"/>
  <c r="V61" i="6" s="1"/>
  <c r="N280" i="5"/>
  <c r="N279" i="5"/>
  <c r="N278" i="5"/>
  <c r="N277" i="5"/>
  <c r="N276" i="5"/>
  <c r="N223" i="5"/>
  <c r="N222" i="5"/>
  <c r="N221" i="5"/>
  <c r="N220" i="5"/>
  <c r="N219" i="5"/>
  <c r="N166" i="5"/>
  <c r="N165" i="5"/>
  <c r="N164" i="5"/>
  <c r="N163" i="5"/>
  <c r="N162" i="5"/>
  <c r="N147" i="5"/>
  <c r="N146" i="5"/>
  <c r="N145" i="5"/>
  <c r="N144" i="5"/>
  <c r="N143" i="5"/>
  <c r="N121" i="5"/>
  <c r="N120" i="5"/>
  <c r="N119" i="5"/>
  <c r="N118" i="5"/>
  <c r="N117" i="5"/>
  <c r="N94" i="5"/>
  <c r="N93" i="5"/>
  <c r="N92" i="5"/>
  <c r="N91" i="5"/>
  <c r="N90" i="5"/>
  <c r="I280" i="4"/>
  <c r="I279" i="4"/>
  <c r="I278" i="4"/>
  <c r="I277" i="4"/>
  <c r="I276" i="4"/>
  <c r="G256" i="4"/>
  <c r="I223" i="4"/>
  <c r="I222" i="4"/>
  <c r="I221" i="4"/>
  <c r="I220" i="4"/>
  <c r="I219" i="4"/>
  <c r="G208" i="4"/>
  <c r="G209" i="4"/>
  <c r="G207" i="4"/>
  <c r="G161" i="4"/>
  <c r="I166" i="4"/>
  <c r="I165" i="4"/>
  <c r="I164" i="4"/>
  <c r="I163" i="4"/>
  <c r="I162" i="4"/>
  <c r="G158" i="4"/>
  <c r="I121" i="4"/>
  <c r="I120" i="4"/>
  <c r="I119" i="4"/>
  <c r="I118" i="4"/>
  <c r="I117" i="4"/>
  <c r="I147" i="4"/>
  <c r="I94" i="4"/>
  <c r="I146" i="4"/>
  <c r="I145" i="4"/>
  <c r="I144" i="4"/>
  <c r="I143" i="4"/>
  <c r="G132" i="4"/>
  <c r="I93" i="4"/>
  <c r="I90" i="4"/>
  <c r="G106" i="4"/>
  <c r="G107" i="4"/>
  <c r="G105" i="4"/>
  <c r="I92" i="4"/>
  <c r="I91" i="4"/>
  <c r="L4" i="2" l="1"/>
  <c r="J392" i="5"/>
  <c r="J400" i="5"/>
  <c r="G277" i="4"/>
  <c r="P275" i="6" s="1"/>
  <c r="G145" i="4"/>
  <c r="L143" i="6" s="1"/>
  <c r="G143" i="4"/>
  <c r="P141" i="6" s="1"/>
  <c r="G276" i="4"/>
  <c r="M274" i="6" s="1"/>
  <c r="Q159" i="6"/>
  <c r="M159" i="6"/>
  <c r="I159" i="6"/>
  <c r="R159" i="6"/>
  <c r="P159" i="6"/>
  <c r="L159" i="6"/>
  <c r="H159" i="6"/>
  <c r="N159" i="6"/>
  <c r="S159" i="6"/>
  <c r="O159" i="6"/>
  <c r="K159" i="6"/>
  <c r="J159" i="6"/>
  <c r="G278" i="4"/>
  <c r="P276" i="6" s="1"/>
  <c r="G280" i="4"/>
  <c r="P278" i="6" s="1"/>
  <c r="S254" i="6"/>
  <c r="O254" i="6"/>
  <c r="K254" i="6"/>
  <c r="R254" i="6"/>
  <c r="N254" i="6"/>
  <c r="J254" i="6"/>
  <c r="Q254" i="6"/>
  <c r="M254" i="6"/>
  <c r="I254" i="6"/>
  <c r="P254" i="6"/>
  <c r="L254" i="6"/>
  <c r="H254" i="6"/>
  <c r="G279" i="4"/>
  <c r="I277" i="6" s="1"/>
  <c r="P207" i="6"/>
  <c r="L207" i="6"/>
  <c r="H207" i="6"/>
  <c r="I207" i="6"/>
  <c r="S207" i="6"/>
  <c r="O207" i="6"/>
  <c r="K207" i="6"/>
  <c r="Q207" i="6"/>
  <c r="R207" i="6"/>
  <c r="N207" i="6"/>
  <c r="J207" i="6"/>
  <c r="M207" i="6"/>
  <c r="P206" i="6"/>
  <c r="N206" i="6"/>
  <c r="S206" i="6"/>
  <c r="R206" i="6"/>
  <c r="Q206" i="6"/>
  <c r="M206" i="6"/>
  <c r="I206" i="6"/>
  <c r="L206" i="6"/>
  <c r="H206" i="6"/>
  <c r="O206" i="6"/>
  <c r="K206" i="6"/>
  <c r="J206" i="6"/>
  <c r="G223" i="4"/>
  <c r="P221" i="6" s="1"/>
  <c r="G219" i="4"/>
  <c r="I217" i="6" s="1"/>
  <c r="P205" i="6"/>
  <c r="L205" i="6"/>
  <c r="H205" i="6"/>
  <c r="R205" i="6"/>
  <c r="J205" i="6"/>
  <c r="M205" i="6"/>
  <c r="S205" i="6"/>
  <c r="O205" i="6"/>
  <c r="K205" i="6"/>
  <c r="N205" i="6"/>
  <c r="Q205" i="6"/>
  <c r="I205" i="6"/>
  <c r="G220" i="4"/>
  <c r="P218" i="6" s="1"/>
  <c r="G221" i="4"/>
  <c r="P219" i="6" s="1"/>
  <c r="G222" i="4"/>
  <c r="P220" i="6" s="1"/>
  <c r="P104" i="6"/>
  <c r="L104" i="6"/>
  <c r="H104" i="6"/>
  <c r="N104" i="6"/>
  <c r="M104" i="6"/>
  <c r="I104" i="6"/>
  <c r="S104" i="6"/>
  <c r="O104" i="6"/>
  <c r="K104" i="6"/>
  <c r="R104" i="6"/>
  <c r="J104" i="6"/>
  <c r="Q104" i="6"/>
  <c r="G166" i="4"/>
  <c r="M164" i="6" s="1"/>
  <c r="P158" i="6"/>
  <c r="L158" i="6"/>
  <c r="H158" i="6"/>
  <c r="I158" i="6"/>
  <c r="S158" i="6"/>
  <c r="O158" i="6"/>
  <c r="K158" i="6"/>
  <c r="M158" i="6"/>
  <c r="R158" i="6"/>
  <c r="N158" i="6"/>
  <c r="J158" i="6"/>
  <c r="Q158" i="6"/>
  <c r="G165" i="4"/>
  <c r="P163" i="6" s="1"/>
  <c r="G162" i="4"/>
  <c r="P160" i="6" s="1"/>
  <c r="P156" i="6"/>
  <c r="L156" i="6"/>
  <c r="H156" i="6"/>
  <c r="Q156" i="6"/>
  <c r="S156" i="6"/>
  <c r="O156" i="6"/>
  <c r="K156" i="6"/>
  <c r="I156" i="6"/>
  <c r="R156" i="6"/>
  <c r="N156" i="6"/>
  <c r="J156" i="6"/>
  <c r="M156" i="6"/>
  <c r="P130" i="6"/>
  <c r="L130" i="6"/>
  <c r="H130" i="6"/>
  <c r="K130" i="6"/>
  <c r="I130" i="6"/>
  <c r="S130" i="6"/>
  <c r="O130" i="6"/>
  <c r="Q130" i="6"/>
  <c r="R130" i="6"/>
  <c r="N130" i="6"/>
  <c r="J130" i="6"/>
  <c r="M130" i="6"/>
  <c r="G146" i="4"/>
  <c r="H144" i="6" s="1"/>
  <c r="G144" i="4"/>
  <c r="H142" i="6" s="1"/>
  <c r="G147" i="4"/>
  <c r="L145" i="6" s="1"/>
  <c r="S95" i="6"/>
  <c r="N95" i="6"/>
  <c r="I95" i="6"/>
  <c r="P95" i="6"/>
  <c r="O95" i="6"/>
  <c r="J95" i="6"/>
  <c r="H95" i="6"/>
  <c r="Q95" i="6"/>
  <c r="L95" i="6"/>
  <c r="R95" i="6"/>
  <c r="K95" i="6"/>
  <c r="M95" i="6"/>
  <c r="G97" i="5"/>
  <c r="R105" i="6"/>
  <c r="N105" i="6"/>
  <c r="J105" i="6"/>
  <c r="K105" i="6"/>
  <c r="Q105" i="6"/>
  <c r="M105" i="6"/>
  <c r="I105" i="6"/>
  <c r="O105" i="6"/>
  <c r="P105" i="6"/>
  <c r="L105" i="6"/>
  <c r="H105" i="6"/>
  <c r="S105" i="6"/>
  <c r="G93" i="4"/>
  <c r="H91" i="6" s="1"/>
  <c r="R103" i="6"/>
  <c r="N103" i="6"/>
  <c r="J103" i="6"/>
  <c r="K103" i="6"/>
  <c r="Q103" i="6"/>
  <c r="M103" i="6"/>
  <c r="I103" i="6"/>
  <c r="S103" i="6"/>
  <c r="P103" i="6"/>
  <c r="L103" i="6"/>
  <c r="H103" i="6"/>
  <c r="O103" i="6"/>
  <c r="G91" i="4"/>
  <c r="P89" i="6" s="1"/>
  <c r="G94" i="4"/>
  <c r="L92" i="6" s="1"/>
  <c r="R77" i="6"/>
  <c r="N77" i="6"/>
  <c r="J77" i="6"/>
  <c r="L77" i="6"/>
  <c r="S77" i="6"/>
  <c r="Q77" i="6"/>
  <c r="M77" i="6"/>
  <c r="I77" i="6"/>
  <c r="P77" i="6"/>
  <c r="H77" i="6"/>
  <c r="O77" i="6"/>
  <c r="K77" i="6"/>
  <c r="G92" i="4"/>
  <c r="S90" i="6" s="1"/>
  <c r="G90" i="4"/>
  <c r="S88" i="6" s="1"/>
  <c r="Q275" i="6"/>
  <c r="G163" i="4"/>
  <c r="G164" i="4"/>
  <c r="G164" i="5" s="1"/>
  <c r="G119" i="4"/>
  <c r="G117" i="4"/>
  <c r="G118" i="4"/>
  <c r="G118" i="5" s="1"/>
  <c r="G121" i="4"/>
  <c r="G121" i="5" s="1"/>
  <c r="G120" i="4"/>
  <c r="G394" i="5"/>
  <c r="G384" i="5"/>
  <c r="G383" i="5"/>
  <c r="G382" i="5"/>
  <c r="G373" i="5"/>
  <c r="G372" i="5"/>
  <c r="G371" i="5"/>
  <c r="G370" i="5"/>
  <c r="G369" i="5"/>
  <c r="G360" i="5"/>
  <c r="G359" i="5"/>
  <c r="G358" i="5"/>
  <c r="G357" i="5"/>
  <c r="G356" i="5"/>
  <c r="G355" i="5"/>
  <c r="G354" i="5"/>
  <c r="G353" i="5"/>
  <c r="G345" i="5"/>
  <c r="G344" i="5"/>
  <c r="G343" i="5"/>
  <c r="G342" i="5"/>
  <c r="G341" i="5"/>
  <c r="G340" i="5"/>
  <c r="G339" i="5"/>
  <c r="G338" i="5"/>
  <c r="G337" i="5"/>
  <c r="G336" i="5"/>
  <c r="G335" i="5"/>
  <c r="G334" i="5"/>
  <c r="G333" i="5"/>
  <c r="G331" i="5"/>
  <c r="G330" i="5"/>
  <c r="G320" i="5"/>
  <c r="G319" i="5"/>
  <c r="G318" i="5"/>
  <c r="G317" i="5"/>
  <c r="G316" i="5"/>
  <c r="G315" i="5"/>
  <c r="G314" i="5"/>
  <c r="G313" i="5"/>
  <c r="G312" i="5"/>
  <c r="G311" i="5"/>
  <c r="G303" i="5"/>
  <c r="G302" i="5"/>
  <c r="G301" i="5"/>
  <c r="G300" i="5"/>
  <c r="G299" i="5"/>
  <c r="G298" i="5"/>
  <c r="G297" i="5"/>
  <c r="G296" i="5"/>
  <c r="G295" i="5"/>
  <c r="G294" i="5"/>
  <c r="G293" i="5"/>
  <c r="G292" i="5"/>
  <c r="G291" i="5"/>
  <c r="G290" i="5"/>
  <c r="G288" i="5"/>
  <c r="G281" i="5"/>
  <c r="G275" i="5"/>
  <c r="G274" i="5"/>
  <c r="G273" i="5"/>
  <c r="G272" i="5"/>
  <c r="G271" i="5"/>
  <c r="G269" i="5"/>
  <c r="G268" i="5"/>
  <c r="G267" i="5"/>
  <c r="G266" i="5"/>
  <c r="G265" i="5"/>
  <c r="G263" i="5"/>
  <c r="G262" i="5"/>
  <c r="G261" i="5"/>
  <c r="G260" i="5"/>
  <c r="G259" i="5"/>
  <c r="G258" i="5"/>
  <c r="G257" i="5"/>
  <c r="G256" i="5"/>
  <c r="G250" i="5"/>
  <c r="G249" i="5"/>
  <c r="G248" i="5"/>
  <c r="G247" i="5"/>
  <c r="G246" i="5"/>
  <c r="G245" i="5"/>
  <c r="G244" i="5"/>
  <c r="G243" i="5"/>
  <c r="G242" i="5"/>
  <c r="G241" i="5"/>
  <c r="G240" i="5"/>
  <c r="G239" i="5"/>
  <c r="G238" i="5"/>
  <c r="G237" i="5"/>
  <c r="G236" i="5"/>
  <c r="G235" i="5"/>
  <c r="G233" i="5"/>
  <c r="G224" i="5"/>
  <c r="G217" i="5"/>
  <c r="G216" i="5"/>
  <c r="G215" i="5"/>
  <c r="G214" i="5"/>
  <c r="G213" i="5"/>
  <c r="G212" i="5"/>
  <c r="G211" i="5"/>
  <c r="G210" i="5"/>
  <c r="G209" i="5"/>
  <c r="G208" i="5"/>
  <c r="G207" i="5"/>
  <c r="G199" i="5"/>
  <c r="G197" i="5"/>
  <c r="G196" i="5"/>
  <c r="G195" i="5"/>
  <c r="G194" i="5"/>
  <c r="G193" i="5"/>
  <c r="G192" i="5"/>
  <c r="G184" i="5"/>
  <c r="G183" i="5"/>
  <c r="G182" i="5"/>
  <c r="G181" i="5"/>
  <c r="G180" i="5"/>
  <c r="G179" i="5"/>
  <c r="G178" i="5"/>
  <c r="G177" i="5"/>
  <c r="G176" i="5"/>
  <c r="G175" i="5"/>
  <c r="G174" i="5"/>
  <c r="G167" i="5"/>
  <c r="G161" i="5"/>
  <c r="G160" i="5"/>
  <c r="G159" i="5"/>
  <c r="G158" i="5"/>
  <c r="G148" i="5"/>
  <c r="G142" i="5"/>
  <c r="G141" i="5"/>
  <c r="G140" i="5"/>
  <c r="G139" i="5"/>
  <c r="G137" i="5"/>
  <c r="G136" i="5"/>
  <c r="G135" i="5"/>
  <c r="G134" i="5"/>
  <c r="G133" i="5"/>
  <c r="G132" i="5"/>
  <c r="G122" i="5"/>
  <c r="G116" i="5"/>
  <c r="G115" i="5"/>
  <c r="G114" i="5"/>
  <c r="G113" i="5"/>
  <c r="G111" i="5"/>
  <c r="G110" i="5"/>
  <c r="G109" i="5"/>
  <c r="G108" i="5"/>
  <c r="G107" i="5"/>
  <c r="G106" i="5"/>
  <c r="G105" i="5"/>
  <c r="G95" i="5"/>
  <c r="G89" i="5"/>
  <c r="G88" i="5"/>
  <c r="G87" i="5"/>
  <c r="G86" i="5"/>
  <c r="G84" i="5"/>
  <c r="G83" i="5"/>
  <c r="G82" i="5"/>
  <c r="G81" i="5"/>
  <c r="G80" i="5"/>
  <c r="G79" i="5"/>
  <c r="G68" i="5"/>
  <c r="G59" i="5"/>
  <c r="G55" i="5"/>
  <c r="G54" i="5"/>
  <c r="G51" i="5"/>
  <c r="G45" i="5"/>
  <c r="G43" i="5"/>
  <c r="G29" i="5"/>
  <c r="G28" i="5"/>
  <c r="G18" i="5"/>
  <c r="G17" i="5"/>
  <c r="G14" i="5"/>
  <c r="G13" i="5"/>
  <c r="G12" i="5"/>
  <c r="G277" i="5" l="1"/>
  <c r="S275" i="6"/>
  <c r="H275" i="6"/>
  <c r="J275" i="6"/>
  <c r="I275" i="6"/>
  <c r="K275" i="6"/>
  <c r="M275" i="6"/>
  <c r="N275" i="6"/>
  <c r="L275" i="6"/>
  <c r="J401" i="5"/>
  <c r="J404" i="5" s="1"/>
  <c r="J403" i="5"/>
  <c r="R275" i="6"/>
  <c r="O275" i="6"/>
  <c r="N141" i="6"/>
  <c r="I141" i="6"/>
  <c r="Q274" i="6"/>
  <c r="K141" i="6"/>
  <c r="H141" i="6"/>
  <c r="G143" i="5"/>
  <c r="J141" i="6"/>
  <c r="L141" i="6"/>
  <c r="R141" i="6"/>
  <c r="R277" i="6"/>
  <c r="N143" i="6"/>
  <c r="O143" i="6"/>
  <c r="P143" i="6"/>
  <c r="I143" i="6"/>
  <c r="J143" i="6"/>
  <c r="S143" i="6"/>
  <c r="Q143" i="6"/>
  <c r="R143" i="6"/>
  <c r="H143" i="6"/>
  <c r="G145" i="5"/>
  <c r="M143" i="6"/>
  <c r="K143" i="6"/>
  <c r="Q141" i="6"/>
  <c r="S141" i="6"/>
  <c r="L277" i="6"/>
  <c r="K274" i="6"/>
  <c r="O274" i="6"/>
  <c r="Q217" i="6"/>
  <c r="L274" i="6"/>
  <c r="M141" i="6"/>
  <c r="O141" i="6"/>
  <c r="N274" i="6"/>
  <c r="P274" i="6"/>
  <c r="G276" i="5"/>
  <c r="R274" i="6"/>
  <c r="S274" i="6"/>
  <c r="I274" i="6"/>
  <c r="R217" i="6"/>
  <c r="J274" i="6"/>
  <c r="H274" i="6"/>
  <c r="R276" i="6"/>
  <c r="L89" i="6"/>
  <c r="H276" i="6"/>
  <c r="G278" i="5"/>
  <c r="I276" i="6"/>
  <c r="N276" i="6"/>
  <c r="M276" i="6"/>
  <c r="S276" i="6"/>
  <c r="L164" i="6"/>
  <c r="P164" i="6"/>
  <c r="S278" i="6"/>
  <c r="H278" i="6"/>
  <c r="G144" i="5"/>
  <c r="K276" i="6"/>
  <c r="L276" i="6"/>
  <c r="Q276" i="6"/>
  <c r="R278" i="6"/>
  <c r="I278" i="6"/>
  <c r="S89" i="6"/>
  <c r="J276" i="6"/>
  <c r="O276" i="6"/>
  <c r="J164" i="6"/>
  <c r="J278" i="6"/>
  <c r="M278" i="6"/>
  <c r="P277" i="6"/>
  <c r="G279" i="5"/>
  <c r="O277" i="6"/>
  <c r="M277" i="6"/>
  <c r="K278" i="6"/>
  <c r="L278" i="6"/>
  <c r="Q278" i="6"/>
  <c r="N160" i="6"/>
  <c r="K277" i="6"/>
  <c r="R160" i="6"/>
  <c r="G280" i="5"/>
  <c r="J277" i="6"/>
  <c r="H277" i="6"/>
  <c r="Q277" i="6"/>
  <c r="N278" i="6"/>
  <c r="O278" i="6"/>
  <c r="K217" i="6"/>
  <c r="M217" i="6"/>
  <c r="S221" i="6"/>
  <c r="J219" i="6"/>
  <c r="I160" i="6"/>
  <c r="S160" i="6"/>
  <c r="J160" i="6"/>
  <c r="H160" i="6"/>
  <c r="M160" i="6"/>
  <c r="K160" i="6"/>
  <c r="L160" i="6"/>
  <c r="G162" i="5"/>
  <c r="Q160" i="6"/>
  <c r="O160" i="6"/>
  <c r="N220" i="6"/>
  <c r="G223" i="5"/>
  <c r="S220" i="6"/>
  <c r="I221" i="6"/>
  <c r="R144" i="6"/>
  <c r="I220" i="6"/>
  <c r="K144" i="6"/>
  <c r="N221" i="6"/>
  <c r="L144" i="6"/>
  <c r="R220" i="6"/>
  <c r="H220" i="6"/>
  <c r="M220" i="6"/>
  <c r="R221" i="6"/>
  <c r="H221" i="6"/>
  <c r="M221" i="6"/>
  <c r="M144" i="6"/>
  <c r="O144" i="6"/>
  <c r="P144" i="6"/>
  <c r="G146" i="5"/>
  <c r="K220" i="6"/>
  <c r="L220" i="6"/>
  <c r="Q220" i="6"/>
  <c r="K221" i="6"/>
  <c r="L221" i="6"/>
  <c r="Q221" i="6"/>
  <c r="I144" i="6"/>
  <c r="Q144" i="6"/>
  <c r="S144" i="6"/>
  <c r="I91" i="6"/>
  <c r="G93" i="5"/>
  <c r="G222" i="5"/>
  <c r="J220" i="6"/>
  <c r="O220" i="6"/>
  <c r="J221" i="6"/>
  <c r="O221" i="6"/>
  <c r="J144" i="6"/>
  <c r="N144" i="6"/>
  <c r="Q163" i="6"/>
  <c r="J89" i="6"/>
  <c r="K164" i="6"/>
  <c r="Q164" i="6"/>
  <c r="H217" i="6"/>
  <c r="R142" i="6"/>
  <c r="G219" i="5"/>
  <c r="M89" i="6"/>
  <c r="O164" i="6"/>
  <c r="L217" i="6"/>
  <c r="K142" i="6"/>
  <c r="G166" i="5"/>
  <c r="Q89" i="6"/>
  <c r="N164" i="6"/>
  <c r="S164" i="6"/>
  <c r="I164" i="6"/>
  <c r="J217" i="6"/>
  <c r="O217" i="6"/>
  <c r="P217" i="6"/>
  <c r="I142" i="6"/>
  <c r="S142" i="6"/>
  <c r="G91" i="5"/>
  <c r="K89" i="6"/>
  <c r="R164" i="6"/>
  <c r="H164" i="6"/>
  <c r="N217" i="6"/>
  <c r="S217" i="6"/>
  <c r="Q142" i="6"/>
  <c r="L142" i="6"/>
  <c r="N145" i="6"/>
  <c r="L91" i="6"/>
  <c r="M91" i="6"/>
  <c r="P91" i="6"/>
  <c r="O91" i="6"/>
  <c r="O145" i="6"/>
  <c r="P145" i="6"/>
  <c r="R218" i="6"/>
  <c r="I218" i="6"/>
  <c r="K163" i="6"/>
  <c r="M145" i="6"/>
  <c r="J145" i="6"/>
  <c r="S145" i="6"/>
  <c r="J218" i="6"/>
  <c r="M218" i="6"/>
  <c r="R163" i="6"/>
  <c r="S163" i="6"/>
  <c r="G165" i="5"/>
  <c r="I145" i="6"/>
  <c r="R145" i="6"/>
  <c r="H145" i="6"/>
  <c r="S218" i="6"/>
  <c r="J163" i="6"/>
  <c r="L163" i="6"/>
  <c r="G147" i="5"/>
  <c r="G220" i="5"/>
  <c r="Q145" i="6"/>
  <c r="K145" i="6"/>
  <c r="H218" i="6"/>
  <c r="N163" i="6"/>
  <c r="I163" i="6"/>
  <c r="N277" i="6"/>
  <c r="S277" i="6"/>
  <c r="S219" i="6"/>
  <c r="I219" i="6"/>
  <c r="K218" i="6"/>
  <c r="L218" i="6"/>
  <c r="Q218" i="6"/>
  <c r="N218" i="6"/>
  <c r="O218" i="6"/>
  <c r="N219" i="6"/>
  <c r="H219" i="6"/>
  <c r="M219" i="6"/>
  <c r="G221" i="5"/>
  <c r="K219" i="6"/>
  <c r="L219" i="6"/>
  <c r="Q219" i="6"/>
  <c r="R219" i="6"/>
  <c r="O219" i="6"/>
  <c r="H163" i="6"/>
  <c r="M163" i="6"/>
  <c r="O163" i="6"/>
  <c r="J142" i="6"/>
  <c r="O142" i="6"/>
  <c r="P142" i="6"/>
  <c r="M142" i="6"/>
  <c r="N142" i="6"/>
  <c r="K91" i="6"/>
  <c r="I89" i="6"/>
  <c r="R89" i="6"/>
  <c r="I92" i="6"/>
  <c r="Q91" i="6"/>
  <c r="J91" i="6"/>
  <c r="S91" i="6"/>
  <c r="H88" i="6"/>
  <c r="R91" i="6"/>
  <c r="N91" i="6"/>
  <c r="G94" i="5"/>
  <c r="J92" i="6"/>
  <c r="S92" i="6"/>
  <c r="N89" i="6"/>
  <c r="H89" i="6"/>
  <c r="O89" i="6"/>
  <c r="N90" i="6"/>
  <c r="H90" i="6"/>
  <c r="I90" i="6"/>
  <c r="L90" i="6"/>
  <c r="R90" i="6"/>
  <c r="G92" i="5"/>
  <c r="K90" i="6"/>
  <c r="Q88" i="6"/>
  <c r="R88" i="6"/>
  <c r="O90" i="6"/>
  <c r="P90" i="6"/>
  <c r="M88" i="6"/>
  <c r="K88" i="6"/>
  <c r="L88" i="6"/>
  <c r="N88" i="6"/>
  <c r="O88" i="6"/>
  <c r="P88" i="6"/>
  <c r="Q90" i="6"/>
  <c r="G90" i="5"/>
  <c r="I88" i="6"/>
  <c r="J88" i="6"/>
  <c r="M90" i="6"/>
  <c r="J90" i="6"/>
  <c r="N92" i="6"/>
  <c r="O92" i="6"/>
  <c r="P92" i="6"/>
  <c r="Q92" i="6"/>
  <c r="R92" i="6"/>
  <c r="H92" i="6"/>
  <c r="M92" i="6"/>
  <c r="K92" i="6"/>
  <c r="P117" i="6"/>
  <c r="L117" i="6"/>
  <c r="H117" i="6"/>
  <c r="S117" i="6"/>
  <c r="O117" i="6"/>
  <c r="K117" i="6"/>
  <c r="N117" i="6"/>
  <c r="J117" i="6"/>
  <c r="Q117" i="6"/>
  <c r="M117" i="6"/>
  <c r="R117" i="6"/>
  <c r="I117" i="6"/>
  <c r="Q161" i="6"/>
  <c r="M161" i="6"/>
  <c r="P161" i="6"/>
  <c r="L161" i="6"/>
  <c r="H161" i="6"/>
  <c r="S161" i="6"/>
  <c r="O161" i="6"/>
  <c r="K161" i="6"/>
  <c r="I161" i="6"/>
  <c r="R161" i="6"/>
  <c r="N161" i="6"/>
  <c r="J161" i="6"/>
  <c r="G117" i="5"/>
  <c r="P115" i="6"/>
  <c r="L115" i="6"/>
  <c r="H115" i="6"/>
  <c r="S115" i="6"/>
  <c r="O115" i="6"/>
  <c r="K115" i="6"/>
  <c r="N115" i="6"/>
  <c r="J115" i="6"/>
  <c r="Q115" i="6"/>
  <c r="M115" i="6"/>
  <c r="R115" i="6"/>
  <c r="I115" i="6"/>
  <c r="P118" i="6"/>
  <c r="L118" i="6"/>
  <c r="H118" i="6"/>
  <c r="S118" i="6"/>
  <c r="O118" i="6"/>
  <c r="K118" i="6"/>
  <c r="R118" i="6"/>
  <c r="J118" i="6"/>
  <c r="N118" i="6"/>
  <c r="Q118" i="6"/>
  <c r="I118" i="6"/>
  <c r="M118" i="6"/>
  <c r="G119" i="5"/>
  <c r="P119" i="6"/>
  <c r="L119" i="6"/>
  <c r="H119" i="6"/>
  <c r="S119" i="6"/>
  <c r="O119" i="6"/>
  <c r="K119" i="6"/>
  <c r="N119" i="6"/>
  <c r="R119" i="6"/>
  <c r="Q119" i="6"/>
  <c r="M119" i="6"/>
  <c r="J119" i="6"/>
  <c r="I119" i="6"/>
  <c r="Q162" i="6"/>
  <c r="M162" i="6"/>
  <c r="I162" i="6"/>
  <c r="P162" i="6"/>
  <c r="L162" i="6"/>
  <c r="H162" i="6"/>
  <c r="S162" i="6"/>
  <c r="O162" i="6"/>
  <c r="K162" i="6"/>
  <c r="J162" i="6"/>
  <c r="R162" i="6"/>
  <c r="N162" i="6"/>
  <c r="G120" i="5"/>
  <c r="G163" i="5"/>
  <c r="P116" i="6"/>
  <c r="L116" i="6"/>
  <c r="H116" i="6"/>
  <c r="S116" i="6"/>
  <c r="O116" i="6"/>
  <c r="K116" i="6"/>
  <c r="R116" i="6"/>
  <c r="J116" i="6"/>
  <c r="Q116" i="6"/>
  <c r="I116" i="6"/>
  <c r="N116" i="6"/>
  <c r="M116" i="6"/>
  <c r="G153" i="5" l="1"/>
  <c r="G100" i="5"/>
  <c r="G127" i="5"/>
  <c r="K166" i="5" l="1"/>
  <c r="K93" i="5"/>
  <c r="K117" i="5"/>
  <c r="G154" i="5"/>
  <c r="G234" i="5"/>
  <c r="R232" i="6"/>
  <c r="N232" i="6"/>
  <c r="J232" i="6"/>
  <c r="Q232" i="6"/>
  <c r="M232" i="6"/>
  <c r="I232" i="6"/>
  <c r="P232" i="6"/>
  <c r="L232" i="6"/>
  <c r="H232" i="6"/>
  <c r="S232" i="6"/>
  <c r="O232" i="6"/>
  <c r="K232" i="6"/>
  <c r="K279" i="5"/>
  <c r="K276" i="5"/>
  <c r="K280" i="5"/>
  <c r="K278" i="5"/>
  <c r="K277" i="5"/>
  <c r="K220" i="5"/>
  <c r="K221" i="5"/>
  <c r="K222" i="5"/>
  <c r="K223" i="5"/>
  <c r="K219" i="5"/>
  <c r="K143" i="5"/>
  <c r="K147" i="5"/>
  <c r="K146" i="5"/>
  <c r="K144" i="5"/>
  <c r="K145" i="5"/>
  <c r="K94" i="5" l="1"/>
  <c r="K162" i="5"/>
  <c r="K164" i="5"/>
  <c r="K163" i="5"/>
  <c r="K165" i="5"/>
  <c r="K90" i="5"/>
  <c r="K91" i="5"/>
  <c r="K92" i="5"/>
  <c r="K119" i="5"/>
  <c r="K120" i="5"/>
  <c r="K121" i="5"/>
  <c r="K118" i="5"/>
  <c r="G61" i="5"/>
  <c r="Q59" i="6"/>
  <c r="M59" i="6"/>
  <c r="I59" i="6"/>
  <c r="U59" i="6"/>
  <c r="P59" i="6"/>
  <c r="L59" i="6"/>
  <c r="H59" i="6"/>
  <c r="S59" i="6"/>
  <c r="O59" i="6"/>
  <c r="K59" i="6"/>
  <c r="R59" i="6"/>
  <c r="N59" i="6"/>
  <c r="J59" i="6"/>
  <c r="G57" i="5"/>
  <c r="S55" i="6"/>
  <c r="O55" i="6"/>
  <c r="K55" i="6"/>
  <c r="R55" i="6"/>
  <c r="N55" i="6"/>
  <c r="J55" i="6"/>
  <c r="Q55" i="6"/>
  <c r="M55" i="6"/>
  <c r="I55" i="6"/>
  <c r="L55" i="6"/>
  <c r="U55" i="6"/>
  <c r="H55" i="6"/>
  <c r="P55" i="6"/>
  <c r="G16" i="5"/>
  <c r="H14" i="6"/>
  <c r="I14" i="6" s="1"/>
  <c r="J14" i="6" s="1"/>
  <c r="K14" i="6" s="1"/>
  <c r="L14" i="6" s="1"/>
  <c r="M14" i="6" s="1"/>
  <c r="N14" i="6" s="1"/>
  <c r="O14" i="6" s="1"/>
  <c r="P14" i="6" s="1"/>
  <c r="Q14" i="6" s="1"/>
  <c r="R14" i="6" s="1"/>
  <c r="S14" i="6" s="1"/>
  <c r="G53" i="5"/>
  <c r="Q51" i="6"/>
  <c r="M51" i="6"/>
  <c r="I51" i="6"/>
  <c r="U51" i="6"/>
  <c r="P51" i="6"/>
  <c r="L51" i="6"/>
  <c r="H51" i="6"/>
  <c r="S51" i="6"/>
  <c r="O51" i="6"/>
  <c r="K51" i="6"/>
  <c r="R51" i="6"/>
  <c r="N51" i="6"/>
  <c r="J51" i="6"/>
  <c r="G50" i="5"/>
  <c r="R48" i="6"/>
  <c r="N48" i="6"/>
  <c r="J48" i="6"/>
  <c r="Q48" i="6"/>
  <c r="M48" i="6"/>
  <c r="I48" i="6"/>
  <c r="U48" i="6"/>
  <c r="P48" i="6"/>
  <c r="L48" i="6"/>
  <c r="H48" i="6"/>
  <c r="S48" i="6"/>
  <c r="O48" i="6"/>
  <c r="K48" i="6"/>
  <c r="G56" i="5"/>
  <c r="U54" i="6"/>
  <c r="P54" i="6"/>
  <c r="L54" i="6"/>
  <c r="H54" i="6"/>
  <c r="S54" i="6"/>
  <c r="O54" i="6"/>
  <c r="K54" i="6"/>
  <c r="R54" i="6"/>
  <c r="N54" i="6"/>
  <c r="J54" i="6"/>
  <c r="I54" i="6"/>
  <c r="Q54" i="6"/>
  <c r="M54" i="6"/>
  <c r="G26" i="5"/>
  <c r="R24" i="6"/>
  <c r="N24" i="6"/>
  <c r="Q24" i="6"/>
  <c r="M24" i="6"/>
  <c r="P24" i="6"/>
  <c r="U24" i="6"/>
  <c r="K24" i="6"/>
  <c r="O24" i="6"/>
  <c r="L24" i="6"/>
  <c r="S24" i="6"/>
  <c r="H24" i="6"/>
  <c r="J24" i="6"/>
  <c r="I24" i="6"/>
  <c r="G49" i="5"/>
  <c r="Q47" i="6"/>
  <c r="M47" i="6"/>
  <c r="I47" i="6"/>
  <c r="U47" i="6"/>
  <c r="P47" i="6"/>
  <c r="L47" i="6"/>
  <c r="H47" i="6"/>
  <c r="S47" i="6"/>
  <c r="K47" i="6"/>
  <c r="O47" i="6"/>
  <c r="N47" i="6"/>
  <c r="R47" i="6"/>
  <c r="J47" i="6"/>
  <c r="G58" i="5"/>
  <c r="R56" i="6"/>
  <c r="N56" i="6"/>
  <c r="J56" i="6"/>
  <c r="Q56" i="6"/>
  <c r="M56" i="6"/>
  <c r="I56" i="6"/>
  <c r="U56" i="6"/>
  <c r="P56" i="6"/>
  <c r="L56" i="6"/>
  <c r="H56" i="6"/>
  <c r="O56" i="6"/>
  <c r="K56" i="6"/>
  <c r="S56" i="6"/>
  <c r="G30" i="5"/>
  <c r="S28" i="6"/>
  <c r="O28" i="6"/>
  <c r="K28" i="6"/>
  <c r="U28" i="6"/>
  <c r="R28" i="6"/>
  <c r="N28" i="6"/>
  <c r="Q28" i="6"/>
  <c r="P28" i="6"/>
  <c r="M28" i="6"/>
  <c r="L28" i="6"/>
  <c r="H28" i="6"/>
  <c r="I28" i="6"/>
  <c r="J28" i="6"/>
  <c r="T59" i="6" l="1"/>
  <c r="V59" i="6" s="1"/>
  <c r="U63" i="6"/>
  <c r="U31" i="6"/>
  <c r="T54" i="6"/>
  <c r="V54" i="6" s="1"/>
  <c r="T48" i="6"/>
  <c r="V48" i="6" s="1"/>
  <c r="T55" i="6"/>
  <c r="V55" i="6" s="1"/>
  <c r="T51" i="6"/>
  <c r="V51" i="6" s="1"/>
  <c r="T56" i="6"/>
  <c r="V56" i="6" s="1"/>
  <c r="U68" i="6" l="1"/>
  <c r="B114" i="2" l="1"/>
  <c r="G47" i="5" l="1"/>
  <c r="R63" i="6"/>
  <c r="N63" i="6"/>
  <c r="J63" i="6"/>
  <c r="Q63" i="6"/>
  <c r="M63" i="6"/>
  <c r="P63" i="6"/>
  <c r="L63" i="6"/>
  <c r="S63" i="6"/>
  <c r="O63" i="6"/>
  <c r="K63" i="6"/>
  <c r="I45" i="6"/>
  <c r="I63" i="6" s="1"/>
  <c r="H45" i="6"/>
  <c r="H63" i="6" s="1"/>
  <c r="G270" i="5"/>
  <c r="R268" i="6"/>
  <c r="R283" i="6" s="1"/>
  <c r="N268" i="6"/>
  <c r="N283" i="6" s="1"/>
  <c r="J268" i="6"/>
  <c r="J283" i="6" s="1"/>
  <c r="Q268" i="6"/>
  <c r="Q283" i="6" s="1"/>
  <c r="M268" i="6"/>
  <c r="M283" i="6" s="1"/>
  <c r="I268" i="6"/>
  <c r="I283" i="6" s="1"/>
  <c r="P268" i="6"/>
  <c r="P283" i="6" s="1"/>
  <c r="L268" i="6"/>
  <c r="L283" i="6" s="1"/>
  <c r="H268" i="6"/>
  <c r="K268" i="6"/>
  <c r="K283" i="6" s="1"/>
  <c r="S268" i="6"/>
  <c r="S283" i="6" s="1"/>
  <c r="O268" i="6"/>
  <c r="O283" i="6" s="1"/>
  <c r="G349" i="4"/>
  <c r="K100" i="5"/>
  <c r="K127" i="5"/>
  <c r="K153" i="5"/>
  <c r="K171" i="5"/>
  <c r="K188" i="5"/>
  <c r="K253" i="5"/>
  <c r="K307" i="5"/>
  <c r="K323" i="5"/>
  <c r="K364" i="5"/>
  <c r="K378" i="5"/>
  <c r="K396" i="5"/>
  <c r="G100" i="4"/>
  <c r="G127" i="4"/>
  <c r="G153" i="4"/>
  <c r="G171" i="4"/>
  <c r="G188" i="4"/>
  <c r="G253" i="4"/>
  <c r="G285" i="4"/>
  <c r="G307" i="4"/>
  <c r="G323" i="4"/>
  <c r="G364" i="4"/>
  <c r="G378" i="4"/>
  <c r="G396" i="4"/>
  <c r="G65" i="4"/>
  <c r="T135" i="6"/>
  <c r="V135" i="6" s="1"/>
  <c r="T134" i="6"/>
  <c r="V134" i="6" s="1"/>
  <c r="T133" i="6"/>
  <c r="V133" i="6" s="1"/>
  <c r="T132" i="6"/>
  <c r="V132" i="6" s="1"/>
  <c r="T131" i="6"/>
  <c r="V131" i="6" s="1"/>
  <c r="T130" i="6"/>
  <c r="V130" i="6" s="1"/>
  <c r="T393" i="6"/>
  <c r="V393" i="6" s="1"/>
  <c r="T392" i="6"/>
  <c r="V392" i="6" s="1"/>
  <c r="T386" i="6"/>
  <c r="V386" i="6" s="1"/>
  <c r="T385" i="6"/>
  <c r="V385" i="6" s="1"/>
  <c r="T384" i="6"/>
  <c r="V384" i="6" s="1"/>
  <c r="T383" i="6"/>
  <c r="V383" i="6" s="1"/>
  <c r="T382" i="6"/>
  <c r="V382" i="6" s="1"/>
  <c r="T381" i="6"/>
  <c r="V381" i="6" s="1"/>
  <c r="T380" i="6"/>
  <c r="V380" i="6" s="1"/>
  <c r="T374" i="6"/>
  <c r="V374" i="6" s="1"/>
  <c r="T373" i="6"/>
  <c r="V373" i="6" s="1"/>
  <c r="T372" i="6"/>
  <c r="V372" i="6" s="1"/>
  <c r="T371" i="6"/>
  <c r="V371" i="6" s="1"/>
  <c r="T370" i="6"/>
  <c r="V370" i="6" s="1"/>
  <c r="T369" i="6"/>
  <c r="V369" i="6" s="1"/>
  <c r="T368" i="6"/>
  <c r="V368" i="6" s="1"/>
  <c r="T367" i="6"/>
  <c r="V367" i="6" s="1"/>
  <c r="T361" i="6"/>
  <c r="V361" i="6" s="1"/>
  <c r="T360" i="6"/>
  <c r="V360" i="6" s="1"/>
  <c r="T359" i="6"/>
  <c r="V359" i="6" s="1"/>
  <c r="T358" i="6"/>
  <c r="V358" i="6" s="1"/>
  <c r="T357" i="6"/>
  <c r="V357" i="6" s="1"/>
  <c r="T356" i="6"/>
  <c r="V356" i="6" s="1"/>
  <c r="T355" i="6"/>
  <c r="V355" i="6" s="1"/>
  <c r="T354" i="6"/>
  <c r="V354" i="6" s="1"/>
  <c r="T353" i="6"/>
  <c r="V353" i="6" s="1"/>
  <c r="T352" i="6"/>
  <c r="V352" i="6" s="1"/>
  <c r="T351" i="6"/>
  <c r="V351" i="6" s="1"/>
  <c r="T346" i="6"/>
  <c r="V346" i="6" s="1"/>
  <c r="T345" i="6"/>
  <c r="V345" i="6" s="1"/>
  <c r="T344" i="6"/>
  <c r="V344" i="6" s="1"/>
  <c r="T343" i="6"/>
  <c r="V343" i="6" s="1"/>
  <c r="T342" i="6"/>
  <c r="V342" i="6" s="1"/>
  <c r="T341" i="6"/>
  <c r="V341" i="6" s="1"/>
  <c r="T340" i="6"/>
  <c r="V340" i="6" s="1"/>
  <c r="T339" i="6"/>
  <c r="V339" i="6" s="1"/>
  <c r="T338" i="6"/>
  <c r="V338" i="6" s="1"/>
  <c r="T337" i="6"/>
  <c r="V337" i="6" s="1"/>
  <c r="T336" i="6"/>
  <c r="V336" i="6" s="1"/>
  <c r="T335" i="6"/>
  <c r="V335" i="6" s="1"/>
  <c r="T334" i="6"/>
  <c r="V334" i="6" s="1"/>
  <c r="T333" i="6"/>
  <c r="V333" i="6" s="1"/>
  <c r="T332" i="6"/>
  <c r="V332" i="6" s="1"/>
  <c r="T331" i="6"/>
  <c r="V331" i="6" s="1"/>
  <c r="T329" i="6"/>
  <c r="V329" i="6" s="1"/>
  <c r="T328" i="6"/>
  <c r="V328" i="6" s="1"/>
  <c r="T320" i="6"/>
  <c r="V320" i="6" s="1"/>
  <c r="T319" i="6"/>
  <c r="V319" i="6" s="1"/>
  <c r="T318" i="6"/>
  <c r="V318" i="6" s="1"/>
  <c r="T317" i="6"/>
  <c r="V317" i="6" s="1"/>
  <c r="T316" i="6"/>
  <c r="V316" i="6" s="1"/>
  <c r="T315" i="6"/>
  <c r="V315" i="6" s="1"/>
  <c r="T314" i="6"/>
  <c r="V314" i="6" s="1"/>
  <c r="T313" i="6"/>
  <c r="V313" i="6" s="1"/>
  <c r="T312" i="6"/>
  <c r="V312" i="6" s="1"/>
  <c r="T311" i="6"/>
  <c r="V311" i="6" s="1"/>
  <c r="T310" i="6"/>
  <c r="V310" i="6" s="1"/>
  <c r="T309" i="6"/>
  <c r="V309" i="6" s="1"/>
  <c r="T304" i="6"/>
  <c r="V304" i="6" s="1"/>
  <c r="T303" i="6"/>
  <c r="V303" i="6" s="1"/>
  <c r="T302" i="6"/>
  <c r="V302" i="6" s="1"/>
  <c r="T301" i="6"/>
  <c r="V301" i="6" s="1"/>
  <c r="T300" i="6"/>
  <c r="V300" i="6" s="1"/>
  <c r="T299" i="6"/>
  <c r="V299" i="6" s="1"/>
  <c r="T298" i="6"/>
  <c r="V298" i="6" s="1"/>
  <c r="T297" i="6"/>
  <c r="V297" i="6" s="1"/>
  <c r="T296" i="6"/>
  <c r="V296" i="6" s="1"/>
  <c r="T295" i="6"/>
  <c r="V295" i="6" s="1"/>
  <c r="T294" i="6"/>
  <c r="V294" i="6" s="1"/>
  <c r="T293" i="6"/>
  <c r="V293" i="6" s="1"/>
  <c r="T292" i="6"/>
  <c r="V292" i="6" s="1"/>
  <c r="T291" i="6"/>
  <c r="V291" i="6" s="1"/>
  <c r="T290" i="6"/>
  <c r="V290" i="6" s="1"/>
  <c r="T289" i="6"/>
  <c r="V289" i="6" s="1"/>
  <c r="T288" i="6"/>
  <c r="V288" i="6" s="1"/>
  <c r="T286" i="6"/>
  <c r="V286" i="6" s="1"/>
  <c r="T282" i="6"/>
  <c r="V282" i="6" s="1"/>
  <c r="T281" i="6"/>
  <c r="V281" i="6" s="1"/>
  <c r="T280" i="6"/>
  <c r="V280" i="6" s="1"/>
  <c r="T279" i="6"/>
  <c r="V279" i="6" s="1"/>
  <c r="T278" i="6"/>
  <c r="V278" i="6" s="1"/>
  <c r="T277" i="6"/>
  <c r="V277" i="6" s="1"/>
  <c r="T276" i="6"/>
  <c r="V276" i="6" s="1"/>
  <c r="T275" i="6"/>
  <c r="V275" i="6" s="1"/>
  <c r="T274" i="6"/>
  <c r="V274" i="6" s="1"/>
  <c r="T273" i="6"/>
  <c r="V273" i="6" s="1"/>
  <c r="T272" i="6"/>
  <c r="V272" i="6" s="1"/>
  <c r="T271" i="6"/>
  <c r="V271" i="6" s="1"/>
  <c r="T270" i="6"/>
  <c r="V270" i="6" s="1"/>
  <c r="T269" i="6"/>
  <c r="V269" i="6" s="1"/>
  <c r="T267" i="6"/>
  <c r="V267" i="6" s="1"/>
  <c r="T266" i="6"/>
  <c r="V266" i="6" s="1"/>
  <c r="T265" i="6"/>
  <c r="V265" i="6" s="1"/>
  <c r="T264" i="6"/>
  <c r="V264" i="6" s="1"/>
  <c r="T263" i="6"/>
  <c r="V263" i="6" s="1"/>
  <c r="T261" i="6"/>
  <c r="V261" i="6" s="1"/>
  <c r="T260" i="6"/>
  <c r="V260" i="6" s="1"/>
  <c r="T259" i="6"/>
  <c r="V259" i="6" s="1"/>
  <c r="T258" i="6"/>
  <c r="V258" i="6" s="1"/>
  <c r="T257" i="6"/>
  <c r="V257" i="6" s="1"/>
  <c r="T256" i="6"/>
  <c r="V256" i="6" s="1"/>
  <c r="T255" i="6"/>
  <c r="V255" i="6" s="1"/>
  <c r="T254" i="6"/>
  <c r="V254" i="6" s="1"/>
  <c r="T250" i="6"/>
  <c r="V250" i="6" s="1"/>
  <c r="T249" i="6"/>
  <c r="V249" i="6" s="1"/>
  <c r="T248" i="6"/>
  <c r="V248" i="6" s="1"/>
  <c r="T247" i="6"/>
  <c r="V247" i="6" s="1"/>
  <c r="T246" i="6"/>
  <c r="V246" i="6" s="1"/>
  <c r="T245" i="6"/>
  <c r="V245" i="6" s="1"/>
  <c r="T244" i="6"/>
  <c r="V244" i="6" s="1"/>
  <c r="T243" i="6"/>
  <c r="V243" i="6" s="1"/>
  <c r="T242" i="6"/>
  <c r="V242" i="6" s="1"/>
  <c r="T241" i="6"/>
  <c r="V241" i="6" s="1"/>
  <c r="T240" i="6"/>
  <c r="V240" i="6" s="1"/>
  <c r="T239" i="6"/>
  <c r="V239" i="6" s="1"/>
  <c r="T238" i="6"/>
  <c r="V238" i="6" s="1"/>
  <c r="T237" i="6"/>
  <c r="V237" i="6" s="1"/>
  <c r="T236" i="6"/>
  <c r="V236" i="6" s="1"/>
  <c r="T235" i="6"/>
  <c r="V235" i="6" s="1"/>
  <c r="T234" i="6"/>
  <c r="V234" i="6" s="1"/>
  <c r="T233" i="6"/>
  <c r="V233" i="6" s="1"/>
  <c r="T232" i="6"/>
  <c r="V232" i="6" s="1"/>
  <c r="T231" i="6"/>
  <c r="V231" i="6" s="1"/>
  <c r="T225" i="6"/>
  <c r="V225" i="6" s="1"/>
  <c r="T224" i="6"/>
  <c r="V224" i="6" s="1"/>
  <c r="T223" i="6"/>
  <c r="V223" i="6" s="1"/>
  <c r="T222" i="6"/>
  <c r="V222" i="6" s="1"/>
  <c r="T221" i="6"/>
  <c r="V221" i="6" s="1"/>
  <c r="T220" i="6"/>
  <c r="V220" i="6" s="1"/>
  <c r="T219" i="6"/>
  <c r="V219" i="6" s="1"/>
  <c r="T218" i="6"/>
  <c r="V218" i="6" s="1"/>
  <c r="T217" i="6"/>
  <c r="V217" i="6" s="1"/>
  <c r="T215" i="6"/>
  <c r="V215" i="6" s="1"/>
  <c r="T214" i="6"/>
  <c r="V214" i="6" s="1"/>
  <c r="T212" i="6"/>
  <c r="V212" i="6" s="1"/>
  <c r="T211" i="6"/>
  <c r="V211" i="6" s="1"/>
  <c r="T210" i="6"/>
  <c r="V210" i="6" s="1"/>
  <c r="T209" i="6"/>
  <c r="V209" i="6" s="1"/>
  <c r="T208" i="6"/>
  <c r="V208" i="6" s="1"/>
  <c r="T207" i="6"/>
  <c r="V207" i="6" s="1"/>
  <c r="T206" i="6"/>
  <c r="V206" i="6" s="1"/>
  <c r="T205" i="6"/>
  <c r="V205" i="6" s="1"/>
  <c r="T200" i="6"/>
  <c r="V200" i="6" s="1"/>
  <c r="T198" i="6"/>
  <c r="V198" i="6" s="1"/>
  <c r="T197" i="6"/>
  <c r="V197" i="6" s="1"/>
  <c r="T195" i="6"/>
  <c r="V195" i="6" s="1"/>
  <c r="T194" i="6"/>
  <c r="V194" i="6" s="1"/>
  <c r="T193" i="6"/>
  <c r="V193" i="6" s="1"/>
  <c r="T192" i="6"/>
  <c r="V192" i="6" s="1"/>
  <c r="T191" i="6"/>
  <c r="V191" i="6" s="1"/>
  <c r="T190" i="6"/>
  <c r="V190" i="6" s="1"/>
  <c r="T185" i="6"/>
  <c r="V185" i="6" s="1"/>
  <c r="T184" i="6"/>
  <c r="V184" i="6" s="1"/>
  <c r="T183" i="6"/>
  <c r="V183" i="6" s="1"/>
  <c r="T182" i="6"/>
  <c r="V182" i="6" s="1"/>
  <c r="T181" i="6"/>
  <c r="V181" i="6" s="1"/>
  <c r="T180" i="6"/>
  <c r="V180" i="6" s="1"/>
  <c r="T179" i="6"/>
  <c r="V179" i="6" s="1"/>
  <c r="T178" i="6"/>
  <c r="V178" i="6" s="1"/>
  <c r="T177" i="6"/>
  <c r="V177" i="6" s="1"/>
  <c r="T176" i="6"/>
  <c r="V176" i="6" s="1"/>
  <c r="T175" i="6"/>
  <c r="V175" i="6" s="1"/>
  <c r="T174" i="6"/>
  <c r="V174" i="6" s="1"/>
  <c r="T173" i="6"/>
  <c r="V173" i="6" s="1"/>
  <c r="T172" i="6"/>
  <c r="V172" i="6" s="1"/>
  <c r="T168" i="6"/>
  <c r="V168" i="6" s="1"/>
  <c r="T167" i="6"/>
  <c r="V167" i="6" s="1"/>
  <c r="T166" i="6"/>
  <c r="V166" i="6" s="1"/>
  <c r="T165" i="6"/>
  <c r="V165" i="6" s="1"/>
  <c r="T164" i="6"/>
  <c r="V164" i="6" s="1"/>
  <c r="T163" i="6"/>
  <c r="V163" i="6" s="1"/>
  <c r="T162" i="6"/>
  <c r="V162" i="6" s="1"/>
  <c r="T161" i="6"/>
  <c r="V161" i="6" s="1"/>
  <c r="T160" i="6"/>
  <c r="V160" i="6" s="1"/>
  <c r="T159" i="6"/>
  <c r="V159" i="6" s="1"/>
  <c r="T158" i="6"/>
  <c r="V158" i="6" s="1"/>
  <c r="T157" i="6"/>
  <c r="V157" i="6" s="1"/>
  <c r="T156" i="6"/>
  <c r="V156" i="6" s="1"/>
  <c r="T150" i="6"/>
  <c r="V150" i="6" s="1"/>
  <c r="T149" i="6"/>
  <c r="V149" i="6" s="1"/>
  <c r="T148" i="6"/>
  <c r="V148" i="6" s="1"/>
  <c r="T147" i="6"/>
  <c r="V147" i="6" s="1"/>
  <c r="T146" i="6"/>
  <c r="V146" i="6" s="1"/>
  <c r="T145" i="6"/>
  <c r="V145" i="6" s="1"/>
  <c r="T144" i="6"/>
  <c r="V144" i="6" s="1"/>
  <c r="T143" i="6"/>
  <c r="V143" i="6" s="1"/>
  <c r="T142" i="6"/>
  <c r="V142" i="6" s="1"/>
  <c r="T141" i="6"/>
  <c r="V141" i="6" s="1"/>
  <c r="T140" i="6"/>
  <c r="V140" i="6" s="1"/>
  <c r="T139" i="6"/>
  <c r="V139" i="6" s="1"/>
  <c r="T124" i="6"/>
  <c r="V124" i="6" s="1"/>
  <c r="T123" i="6"/>
  <c r="V123" i="6" s="1"/>
  <c r="T122" i="6"/>
  <c r="V122" i="6" s="1"/>
  <c r="T121" i="6"/>
  <c r="V121" i="6" s="1"/>
  <c r="T120" i="6"/>
  <c r="V120" i="6" s="1"/>
  <c r="T119" i="6"/>
  <c r="V119" i="6" s="1"/>
  <c r="T118" i="6"/>
  <c r="V118" i="6" s="1"/>
  <c r="T117" i="6"/>
  <c r="V117" i="6" s="1"/>
  <c r="T116" i="6"/>
  <c r="V116" i="6" s="1"/>
  <c r="T115" i="6"/>
  <c r="V115" i="6" s="1"/>
  <c r="T114" i="6"/>
  <c r="V114" i="6" s="1"/>
  <c r="T113" i="6"/>
  <c r="V113" i="6" s="1"/>
  <c r="T109" i="6"/>
  <c r="V109" i="6" s="1"/>
  <c r="T108" i="6"/>
  <c r="V108" i="6" s="1"/>
  <c r="T107" i="6"/>
  <c r="V107" i="6" s="1"/>
  <c r="T106" i="6"/>
  <c r="V106" i="6" s="1"/>
  <c r="T105" i="6"/>
  <c r="V105" i="6" s="1"/>
  <c r="T104" i="6"/>
  <c r="V104" i="6" s="1"/>
  <c r="T103" i="6"/>
  <c r="V103" i="6" s="1"/>
  <c r="T97" i="6"/>
  <c r="V97" i="6" s="1"/>
  <c r="T96" i="6"/>
  <c r="V96" i="6" s="1"/>
  <c r="T95" i="6"/>
  <c r="V95" i="6" s="1"/>
  <c r="T94" i="6"/>
  <c r="V94" i="6" s="1"/>
  <c r="T93" i="6"/>
  <c r="V93" i="6" s="1"/>
  <c r="T92" i="6"/>
  <c r="V92" i="6" s="1"/>
  <c r="T91" i="6"/>
  <c r="V91" i="6" s="1"/>
  <c r="T90" i="6"/>
  <c r="V90" i="6" s="1"/>
  <c r="T89" i="6"/>
  <c r="V89" i="6" s="1"/>
  <c r="T88" i="6"/>
  <c r="V88" i="6" s="1"/>
  <c r="T87" i="6"/>
  <c r="V87" i="6" s="1"/>
  <c r="T84" i="6"/>
  <c r="V84" i="6" s="1"/>
  <c r="T82" i="6"/>
  <c r="V82" i="6" s="1"/>
  <c r="T81" i="6"/>
  <c r="V81" i="6" s="1"/>
  <c r="T80" i="6"/>
  <c r="V80" i="6" s="1"/>
  <c r="T79" i="6"/>
  <c r="V79" i="6" s="1"/>
  <c r="T78" i="6"/>
  <c r="V78" i="6" s="1"/>
  <c r="T77" i="6"/>
  <c r="V77" i="6" s="1"/>
  <c r="T67" i="6"/>
  <c r="V67" i="6" s="1"/>
  <c r="T66" i="6"/>
  <c r="V66" i="6" s="1"/>
  <c r="T62" i="6"/>
  <c r="V62" i="6" s="1"/>
  <c r="T60" i="6"/>
  <c r="V60" i="6" s="1"/>
  <c r="T57" i="6"/>
  <c r="V57" i="6" s="1"/>
  <c r="T53" i="6"/>
  <c r="V53" i="6" s="1"/>
  <c r="T52" i="6"/>
  <c r="V52" i="6" s="1"/>
  <c r="T49" i="6"/>
  <c r="V49" i="6" s="1"/>
  <c r="T47" i="6"/>
  <c r="V47" i="6" s="1"/>
  <c r="T43" i="6"/>
  <c r="V43" i="6" s="1"/>
  <c r="T41" i="6"/>
  <c r="V41" i="6" s="1"/>
  <c r="T30" i="6"/>
  <c r="V30" i="6" s="1"/>
  <c r="T29" i="6"/>
  <c r="V29" i="6" s="1"/>
  <c r="T28" i="6"/>
  <c r="V28" i="6" s="1"/>
  <c r="T27" i="6"/>
  <c r="V27" i="6" s="1"/>
  <c r="T26" i="6"/>
  <c r="V26" i="6" s="1"/>
  <c r="T24" i="6"/>
  <c r="V24" i="6" s="1"/>
  <c r="T18" i="6"/>
  <c r="V18" i="6" s="1"/>
  <c r="T17" i="6"/>
  <c r="V17" i="6" s="1"/>
  <c r="T16" i="6"/>
  <c r="V16" i="6" s="1"/>
  <c r="T15" i="6"/>
  <c r="V15" i="6" s="1"/>
  <c r="T14" i="6"/>
  <c r="V14" i="6" s="1"/>
  <c r="T10" i="6"/>
  <c r="V10" i="6" s="1"/>
  <c r="T11" i="6"/>
  <c r="V11" i="6" s="1"/>
  <c r="T12" i="6"/>
  <c r="V12" i="6" s="1"/>
  <c r="S98" i="6"/>
  <c r="S125" i="6"/>
  <c r="S151" i="6"/>
  <c r="S169" i="6"/>
  <c r="S186" i="6"/>
  <c r="S251" i="6"/>
  <c r="S305" i="6"/>
  <c r="S321" i="6"/>
  <c r="S362" i="6"/>
  <c r="S376" i="6"/>
  <c r="S387" i="6"/>
  <c r="S394" i="6"/>
  <c r="R98" i="6"/>
  <c r="R125" i="6"/>
  <c r="R151" i="6"/>
  <c r="R169" i="6"/>
  <c r="R186" i="6"/>
  <c r="R251" i="6"/>
  <c r="R305" i="6"/>
  <c r="R321" i="6"/>
  <c r="R362" i="6"/>
  <c r="R376" i="6"/>
  <c r="R387" i="6"/>
  <c r="R394" i="6"/>
  <c r="Q98" i="6"/>
  <c r="Q125" i="6"/>
  <c r="Q151" i="6"/>
  <c r="Q169" i="6"/>
  <c r="Q186" i="6"/>
  <c r="Q251" i="6"/>
  <c r="Q305" i="6"/>
  <c r="Q321" i="6"/>
  <c r="Q362" i="6"/>
  <c r="Q376" i="6"/>
  <c r="Q387" i="6"/>
  <c r="Q394" i="6"/>
  <c r="P98" i="6"/>
  <c r="P125" i="6"/>
  <c r="P151" i="6"/>
  <c r="P169" i="6"/>
  <c r="P186" i="6"/>
  <c r="P251" i="6"/>
  <c r="P305" i="6"/>
  <c r="P321" i="6"/>
  <c r="P362" i="6"/>
  <c r="P376" i="6"/>
  <c r="P387" i="6"/>
  <c r="P394" i="6"/>
  <c r="O98" i="6"/>
  <c r="O125" i="6"/>
  <c r="O151" i="6"/>
  <c r="O169" i="6"/>
  <c r="O186" i="6"/>
  <c r="O251" i="6"/>
  <c r="O305" i="6"/>
  <c r="O321" i="6"/>
  <c r="O362" i="6"/>
  <c r="O376" i="6"/>
  <c r="O387" i="6"/>
  <c r="O394" i="6"/>
  <c r="N98" i="6"/>
  <c r="N125" i="6"/>
  <c r="N151" i="6"/>
  <c r="N169" i="6"/>
  <c r="N186" i="6"/>
  <c r="N251" i="6"/>
  <c r="N305" i="6"/>
  <c r="N321" i="6"/>
  <c r="N362" i="6"/>
  <c r="N376" i="6"/>
  <c r="N387" i="6"/>
  <c r="N394" i="6"/>
  <c r="M98" i="6"/>
  <c r="M125" i="6"/>
  <c r="M151" i="6"/>
  <c r="M169" i="6"/>
  <c r="M186" i="6"/>
  <c r="M251" i="6"/>
  <c r="M305" i="6"/>
  <c r="M321" i="6"/>
  <c r="M362" i="6"/>
  <c r="M376" i="6"/>
  <c r="M387" i="6"/>
  <c r="M394" i="6"/>
  <c r="L186" i="6"/>
  <c r="I98" i="6"/>
  <c r="I125" i="6"/>
  <c r="I151" i="6"/>
  <c r="I169" i="6"/>
  <c r="I186" i="6"/>
  <c r="I251" i="6"/>
  <c r="I305" i="6"/>
  <c r="I321" i="6"/>
  <c r="I362" i="6"/>
  <c r="I376" i="6"/>
  <c r="I387" i="6"/>
  <c r="I394" i="6"/>
  <c r="J98" i="6"/>
  <c r="J125" i="6"/>
  <c r="J151" i="6"/>
  <c r="J169" i="6"/>
  <c r="J186" i="6"/>
  <c r="J251" i="6"/>
  <c r="J305" i="6"/>
  <c r="J321" i="6"/>
  <c r="J362" i="6"/>
  <c r="J376" i="6"/>
  <c r="J387" i="6"/>
  <c r="J394" i="6"/>
  <c r="K98" i="6"/>
  <c r="K125" i="6"/>
  <c r="K151" i="6"/>
  <c r="K169" i="6"/>
  <c r="K186" i="6"/>
  <c r="K251" i="6"/>
  <c r="K305" i="6"/>
  <c r="K321" i="6"/>
  <c r="K362" i="6"/>
  <c r="K376" i="6"/>
  <c r="K387" i="6"/>
  <c r="K394" i="6"/>
  <c r="L169" i="6"/>
  <c r="L251" i="6"/>
  <c r="L305" i="6"/>
  <c r="L321" i="6"/>
  <c r="L98" i="6"/>
  <c r="L125" i="6"/>
  <c r="L151" i="6"/>
  <c r="L362" i="6"/>
  <c r="L376" i="6"/>
  <c r="L387" i="6"/>
  <c r="L394" i="6"/>
  <c r="H98" i="6"/>
  <c r="H125" i="6"/>
  <c r="H151" i="6"/>
  <c r="H169" i="6"/>
  <c r="H186" i="6"/>
  <c r="H251" i="6"/>
  <c r="H305" i="6"/>
  <c r="H321" i="6"/>
  <c r="H362" i="6"/>
  <c r="H376" i="6"/>
  <c r="H387" i="6"/>
  <c r="H394" i="6"/>
  <c r="G171" i="5"/>
  <c r="G188" i="5"/>
  <c r="G253" i="5"/>
  <c r="G307" i="5"/>
  <c r="G323" i="5"/>
  <c r="G364" i="5"/>
  <c r="G378" i="5"/>
  <c r="G396" i="5"/>
  <c r="F23" i="3"/>
  <c r="F31" i="3"/>
  <c r="F43" i="3"/>
  <c r="F49" i="3"/>
  <c r="F11" i="3"/>
  <c r="G65" i="5" l="1"/>
  <c r="G367" i="4"/>
  <c r="K65" i="5"/>
  <c r="G285" i="5"/>
  <c r="T268" i="6"/>
  <c r="V268" i="6" s="1"/>
  <c r="T45" i="6"/>
  <c r="V45" i="6" s="1"/>
  <c r="G11" i="5"/>
  <c r="H9" i="6"/>
  <c r="H283" i="6"/>
  <c r="G332" i="5"/>
  <c r="R347" i="6"/>
  <c r="R365" i="6" s="1"/>
  <c r="N347" i="6"/>
  <c r="N365" i="6" s="1"/>
  <c r="J347" i="6"/>
  <c r="J365" i="6" s="1"/>
  <c r="Q347" i="6"/>
  <c r="Q365" i="6" s="1"/>
  <c r="M347" i="6"/>
  <c r="M365" i="6" s="1"/>
  <c r="I330" i="6"/>
  <c r="I347" i="6" s="1"/>
  <c r="I365" i="6" s="1"/>
  <c r="P347" i="6"/>
  <c r="P365" i="6" s="1"/>
  <c r="L347" i="6"/>
  <c r="L365" i="6" s="1"/>
  <c r="H330" i="6"/>
  <c r="S347" i="6"/>
  <c r="S365" i="6" s="1"/>
  <c r="O347" i="6"/>
  <c r="O365" i="6" s="1"/>
  <c r="K347" i="6"/>
  <c r="K365" i="6" s="1"/>
  <c r="S152" i="6"/>
  <c r="L152" i="6"/>
  <c r="R152" i="6"/>
  <c r="T376" i="6"/>
  <c r="V376" i="6" s="1"/>
  <c r="J152" i="6"/>
  <c r="T362" i="6"/>
  <c r="V362" i="6" s="1"/>
  <c r="O152" i="6"/>
  <c r="T186" i="6"/>
  <c r="V186" i="6" s="1"/>
  <c r="T387" i="6"/>
  <c r="V387" i="6" s="1"/>
  <c r="G21" i="4"/>
  <c r="K154" i="5"/>
  <c r="G154" i="4"/>
  <c r="H152" i="6"/>
  <c r="M152" i="6"/>
  <c r="N152" i="6"/>
  <c r="P152" i="6"/>
  <c r="Q152" i="6"/>
  <c r="T98" i="6"/>
  <c r="V98" i="6" s="1"/>
  <c r="T251" i="6"/>
  <c r="V251" i="6" s="1"/>
  <c r="T394" i="6"/>
  <c r="V394" i="6" s="1"/>
  <c r="F51" i="3"/>
  <c r="K152" i="6"/>
  <c r="I152" i="6"/>
  <c r="T125" i="6"/>
  <c r="V125" i="6" s="1"/>
  <c r="T169" i="6"/>
  <c r="V169" i="6" s="1"/>
  <c r="T305" i="6"/>
  <c r="V305" i="6" s="1"/>
  <c r="T321" i="6"/>
  <c r="V321" i="6" s="1"/>
  <c r="T151" i="6"/>
  <c r="V151" i="6" s="1"/>
  <c r="T283" i="6" l="1"/>
  <c r="V283" i="6" s="1"/>
  <c r="T63" i="6"/>
  <c r="V63" i="6" s="1"/>
  <c r="G349" i="5"/>
  <c r="G367" i="5" s="1"/>
  <c r="G21" i="5"/>
  <c r="T330" i="6"/>
  <c r="H347" i="6"/>
  <c r="H365" i="6" s="1"/>
  <c r="I9" i="6"/>
  <c r="H19" i="6"/>
  <c r="T152" i="6"/>
  <c r="V152" i="6" s="1"/>
  <c r="J9" i="6" l="1"/>
  <c r="I19" i="6"/>
  <c r="V330" i="6"/>
  <c r="T347" i="6"/>
  <c r="G385" i="5"/>
  <c r="G389" i="4"/>
  <c r="K285" i="5" l="1"/>
  <c r="K9" i="6"/>
  <c r="J19" i="6"/>
  <c r="K349" i="5"/>
  <c r="K367" i="5" s="1"/>
  <c r="V347" i="6"/>
  <c r="T365" i="6"/>
  <c r="V365" i="6" s="1"/>
  <c r="G389" i="5"/>
  <c r="L9" i="6" l="1"/>
  <c r="K19" i="6"/>
  <c r="K21" i="5"/>
  <c r="M9" i="6" l="1"/>
  <c r="L19" i="6"/>
  <c r="N9" i="6" l="1"/>
  <c r="M19" i="6"/>
  <c r="K389" i="5"/>
  <c r="O9" i="6" l="1"/>
  <c r="N19" i="6"/>
  <c r="P9" i="6" l="1"/>
  <c r="O19" i="6"/>
  <c r="Q9" i="6" l="1"/>
  <c r="P19" i="6"/>
  <c r="R9" i="6" l="1"/>
  <c r="Q19" i="6"/>
  <c r="S9" i="6" l="1"/>
  <c r="R19" i="6"/>
  <c r="S19" i="6" l="1"/>
  <c r="T9" i="6"/>
  <c r="V9" i="6" l="1"/>
  <c r="T19" i="6"/>
  <c r="V19" i="6" l="1"/>
  <c r="G25" i="4" l="1"/>
  <c r="P196" i="6" l="1"/>
  <c r="N196" i="6"/>
  <c r="H196" i="6"/>
  <c r="K196" i="6"/>
  <c r="Q196" i="6"/>
  <c r="L196" i="6"/>
  <c r="R196" i="6"/>
  <c r="G198" i="5"/>
  <c r="S196" i="6"/>
  <c r="O196" i="6"/>
  <c r="I196" i="6"/>
  <c r="M196" i="6"/>
  <c r="J196" i="6"/>
  <c r="G33" i="4"/>
  <c r="G70" i="4" s="1"/>
  <c r="H23" i="6"/>
  <c r="G25" i="5"/>
  <c r="I23" i="6" l="1"/>
  <c r="H31" i="6"/>
  <c r="H68" i="6" s="1"/>
  <c r="T196" i="6"/>
  <c r="G33" i="5"/>
  <c r="G70" i="5" s="1"/>
  <c r="I2" i="2" l="1"/>
  <c r="H71" i="5"/>
  <c r="N199" i="6"/>
  <c r="N201" i="6" s="1"/>
  <c r="K199" i="6"/>
  <c r="K201" i="6" s="1"/>
  <c r="Q199" i="6"/>
  <c r="Q201" i="6" s="1"/>
  <c r="H199" i="6"/>
  <c r="S199" i="6"/>
  <c r="S201" i="6" s="1"/>
  <c r="R199" i="6"/>
  <c r="R201" i="6" s="1"/>
  <c r="P199" i="6"/>
  <c r="P201" i="6" s="1"/>
  <c r="O199" i="6"/>
  <c r="O201" i="6" s="1"/>
  <c r="I199" i="6"/>
  <c r="I201" i="6" s="1"/>
  <c r="L199" i="6"/>
  <c r="L201" i="6" s="1"/>
  <c r="J199" i="6"/>
  <c r="J201" i="6" s="1"/>
  <c r="G201" i="5"/>
  <c r="G203" i="5" s="1"/>
  <c r="M199" i="6"/>
  <c r="M201" i="6" s="1"/>
  <c r="G203" i="4"/>
  <c r="J23" i="6"/>
  <c r="I31" i="6"/>
  <c r="I68" i="6" s="1"/>
  <c r="V196" i="6"/>
  <c r="Q216" i="6"/>
  <c r="Q226" i="6" s="1"/>
  <c r="I216" i="6"/>
  <c r="I226" i="6" s="1"/>
  <c r="N216" i="6"/>
  <c r="N226" i="6" s="1"/>
  <c r="G228" i="4"/>
  <c r="P216" i="6"/>
  <c r="P226" i="6" s="1"/>
  <c r="S216" i="6"/>
  <c r="S226" i="6" s="1"/>
  <c r="K216" i="6"/>
  <c r="K226" i="6" s="1"/>
  <c r="H216" i="6"/>
  <c r="J216" i="6"/>
  <c r="J226" i="6" s="1"/>
  <c r="L216" i="6"/>
  <c r="L226" i="6" s="1"/>
  <c r="O216" i="6"/>
  <c r="O226" i="6" s="1"/>
  <c r="U216" i="6"/>
  <c r="U226" i="6" s="1"/>
  <c r="U324" i="6" s="1"/>
  <c r="U389" i="6" s="1"/>
  <c r="U398" i="6" s="1"/>
  <c r="M216" i="6"/>
  <c r="M226" i="6" s="1"/>
  <c r="R216" i="6"/>
  <c r="R226" i="6" s="1"/>
  <c r="G218" i="5"/>
  <c r="O324" i="6" l="1"/>
  <c r="O389" i="6" s="1"/>
  <c r="J324" i="6"/>
  <c r="J389" i="6" s="1"/>
  <c r="P324" i="6"/>
  <c r="P389" i="6" s="1"/>
  <c r="Q324" i="6"/>
  <c r="Q389" i="6" s="1"/>
  <c r="H226" i="6"/>
  <c r="T216" i="6"/>
  <c r="T199" i="6"/>
  <c r="H201" i="6"/>
  <c r="G228" i="5"/>
  <c r="G326" i="5" s="1"/>
  <c r="G391" i="5" s="1"/>
  <c r="G326" i="4"/>
  <c r="G391" i="4" s="1"/>
  <c r="G400" i="4" s="1"/>
  <c r="L324" i="6"/>
  <c r="L389" i="6" s="1"/>
  <c r="R324" i="6"/>
  <c r="R389" i="6" s="1"/>
  <c r="K324" i="6"/>
  <c r="K389" i="6" s="1"/>
  <c r="J31" i="6"/>
  <c r="J68" i="6" s="1"/>
  <c r="K23" i="6"/>
  <c r="M324" i="6"/>
  <c r="M389" i="6" s="1"/>
  <c r="I324" i="6"/>
  <c r="I389" i="6" s="1"/>
  <c r="I398" i="6" s="1"/>
  <c r="S324" i="6"/>
  <c r="S389" i="6" s="1"/>
  <c r="N324" i="6"/>
  <c r="N389" i="6" s="1"/>
  <c r="I4" i="2" l="1"/>
  <c r="H392" i="5"/>
  <c r="H324" i="6"/>
  <c r="H389" i="6" s="1"/>
  <c r="H398" i="6" s="1"/>
  <c r="J398" i="6"/>
  <c r="V199" i="6"/>
  <c r="T201" i="6"/>
  <c r="K31" i="6"/>
  <c r="K68" i="6" s="1"/>
  <c r="K398" i="6" s="1"/>
  <c r="L23" i="6"/>
  <c r="I6" i="2"/>
  <c r="G400" i="5"/>
  <c r="J3" i="2"/>
  <c r="T226" i="6"/>
  <c r="V226" i="6" s="1"/>
  <c r="V216" i="6"/>
  <c r="I9" i="2" l="1"/>
  <c r="I8" i="2"/>
  <c r="L31" i="6"/>
  <c r="L68" i="6" s="1"/>
  <c r="L398" i="6" s="1"/>
  <c r="M23" i="6"/>
  <c r="K3" i="2"/>
  <c r="K33" i="5"/>
  <c r="K70" i="5" s="1"/>
  <c r="V201" i="6"/>
  <c r="T324" i="6"/>
  <c r="G403" i="5"/>
  <c r="G401" i="5"/>
  <c r="M2" i="2" l="1"/>
  <c r="K71" i="5"/>
  <c r="G404" i="5"/>
  <c r="K228" i="5"/>
  <c r="L3" i="2"/>
  <c r="T389" i="6"/>
  <c r="V389" i="6" s="1"/>
  <c r="V324" i="6"/>
  <c r="K201" i="5"/>
  <c r="K203" i="5" s="1"/>
  <c r="J5" i="2"/>
  <c r="J6" i="2"/>
  <c r="M31" i="6"/>
  <c r="M68" i="6" s="1"/>
  <c r="M398" i="6" s="1"/>
  <c r="N23" i="6"/>
  <c r="I10" i="2"/>
  <c r="J8" i="2" l="1"/>
  <c r="J7" i="2"/>
  <c r="M3" i="2"/>
  <c r="J9" i="2"/>
  <c r="K5" i="2"/>
  <c r="K6" i="2"/>
  <c r="K326" i="5"/>
  <c r="K391" i="5" s="1"/>
  <c r="O23" i="6"/>
  <c r="N31" i="6"/>
  <c r="N68" i="6" s="1"/>
  <c r="N398" i="6" s="1"/>
  <c r="M4" i="2" l="1"/>
  <c r="K392" i="5"/>
  <c r="O31" i="6"/>
  <c r="O68" i="6" s="1"/>
  <c r="O398" i="6" s="1"/>
  <c r="P23" i="6"/>
  <c r="K400" i="5"/>
  <c r="K8" i="2"/>
  <c r="K7" i="2"/>
  <c r="J10" i="2"/>
  <c r="K9" i="2"/>
  <c r="L5" i="2"/>
  <c r="L6" i="2"/>
  <c r="K403" i="5" l="1"/>
  <c r="K401" i="5"/>
  <c r="K404" i="5" s="1"/>
  <c r="M5" i="2"/>
  <c r="M6" i="2"/>
  <c r="L8" i="2"/>
  <c r="L7" i="2"/>
  <c r="P31" i="6"/>
  <c r="P68" i="6" s="1"/>
  <c r="P398" i="6" s="1"/>
  <c r="Q23" i="6"/>
  <c r="K10" i="2"/>
  <c r="L9" i="2"/>
  <c r="Q31" i="6" l="1"/>
  <c r="Q68" i="6" s="1"/>
  <c r="Q398" i="6" s="1"/>
  <c r="R23" i="6"/>
  <c r="M7" i="2"/>
  <c r="M8" i="2"/>
  <c r="L10" i="2"/>
  <c r="M9" i="2"/>
  <c r="M10" i="2" s="1"/>
  <c r="S23" i="6" l="1"/>
  <c r="R31" i="6"/>
  <c r="R68" i="6" s="1"/>
  <c r="R398" i="6" s="1"/>
  <c r="S31" i="6" l="1"/>
  <c r="S68" i="6" s="1"/>
  <c r="S398" i="6" s="1"/>
  <c r="T23" i="6"/>
  <c r="T31" i="6" l="1"/>
  <c r="V23" i="6"/>
  <c r="T68" i="6" l="1"/>
  <c r="V31" i="6"/>
  <c r="V68" i="6" l="1"/>
  <c r="T398" i="6"/>
  <c r="V398" i="6" s="1"/>
</calcChain>
</file>

<file path=xl/sharedStrings.xml><?xml version="1.0" encoding="utf-8"?>
<sst xmlns="http://schemas.openxmlformats.org/spreadsheetml/2006/main" count="5308" uniqueCount="522">
  <si>
    <r>
      <t>Energy</t>
    </r>
    <r>
      <rPr>
        <sz val="9"/>
        <rFont val="Arial"/>
        <family val="2"/>
      </rPr>
      <t xml:space="preserve"> (Gas, Electricity, etc.)</t>
    </r>
  </si>
  <si>
    <t>Board of Directors</t>
  </si>
  <si>
    <t xml:space="preserve"> SERVICE EXPENDITURES</t>
  </si>
  <si>
    <t>OVER EXPENDITURES AND OTHER USES</t>
  </si>
  <si>
    <r>
      <t xml:space="preserve">Other Uses of Funds </t>
    </r>
    <r>
      <rPr>
        <i/>
        <sz val="9"/>
        <rFont val="Arial"/>
        <family val="2"/>
      </rPr>
      <t>(provide detail)</t>
    </r>
  </si>
  <si>
    <r>
      <t xml:space="preserve">Travel/Mileage </t>
    </r>
    <r>
      <rPr>
        <sz val="9"/>
        <rFont val="Arial"/>
        <family val="2"/>
      </rPr>
      <t>(Board of Directors)</t>
    </r>
  </si>
  <si>
    <r>
      <t xml:space="preserve">Materials and Supplies </t>
    </r>
    <r>
      <rPr>
        <sz val="9"/>
        <rFont val="Arial"/>
        <family val="2"/>
      </rPr>
      <t>(e.g., printed report cards)</t>
    </r>
  </si>
  <si>
    <t>TOTAL B. Special Education Programs</t>
  </si>
  <si>
    <r>
      <t xml:space="preserve">Guidance Services </t>
    </r>
    <r>
      <rPr>
        <sz val="8"/>
        <rFont val="Arial"/>
        <family val="2"/>
      </rPr>
      <t>(Guidance Counselor)</t>
    </r>
  </si>
  <si>
    <t>Planning, Research, Development, and Evaluation Svcs.</t>
  </si>
  <si>
    <r>
      <t xml:space="preserve">Louisiana laws contain requirements for school district accounting.  By law, the </t>
    </r>
    <r>
      <rPr>
        <b/>
        <sz val="11"/>
        <rFont val="Arial"/>
        <family val="2"/>
      </rPr>
      <t>L</t>
    </r>
    <r>
      <rPr>
        <sz val="11"/>
        <rFont val="Arial"/>
        <family val="2"/>
      </rPr>
      <t>ouisiana</t>
    </r>
    <r>
      <rPr>
        <b/>
        <sz val="11"/>
        <rFont val="Arial"/>
        <family val="2"/>
      </rPr>
      <t xml:space="preserve"> A</t>
    </r>
    <r>
      <rPr>
        <sz val="11"/>
        <rFont val="Arial"/>
        <family val="2"/>
      </rPr>
      <t xml:space="preserve">ccounting and </t>
    </r>
    <r>
      <rPr>
        <b/>
        <sz val="11"/>
        <rFont val="Arial"/>
        <family val="2"/>
      </rPr>
      <t>U</t>
    </r>
    <r>
      <rPr>
        <sz val="11"/>
        <rFont val="Arial"/>
        <family val="2"/>
      </rPr>
      <t xml:space="preserve">niform </t>
    </r>
    <r>
      <rPr>
        <b/>
        <sz val="11"/>
        <rFont val="Arial"/>
        <family val="2"/>
      </rPr>
      <t>G</t>
    </r>
    <r>
      <rPr>
        <sz val="11"/>
        <rFont val="Arial"/>
        <family val="2"/>
      </rPr>
      <t xml:space="preserve">overnmental </t>
    </r>
    <r>
      <rPr>
        <b/>
        <sz val="11"/>
        <rFont val="Arial"/>
        <family val="2"/>
      </rPr>
      <t>H</t>
    </r>
    <r>
      <rPr>
        <sz val="11"/>
        <rFont val="Arial"/>
        <family val="2"/>
      </rPr>
      <t>andbook (LAUGH) (Bulletin 1929) is the required accounting manual for local educational agencies.  This document can be accessed on the Department of Education's website at www.louisianaschools.net.</t>
    </r>
  </si>
  <si>
    <t>24XX</t>
  </si>
  <si>
    <t>31XX</t>
  </si>
  <si>
    <t>33XX</t>
  </si>
  <si>
    <t>B.  Special Education Programs (Including Summer &amp; Preschool)</t>
  </si>
  <si>
    <t xml:space="preserve">       &amp; Gifted/Talented Programs</t>
  </si>
  <si>
    <t>I.  INSTRUCTION</t>
  </si>
  <si>
    <t>(additional function codes may need to be added)</t>
  </si>
  <si>
    <t>IV.  FACILITY ACQUISITION AND CONSTRUCTION SVCS.</t>
  </si>
  <si>
    <t>C.  TOTAL Other Instructional Programs</t>
  </si>
  <si>
    <t>311X</t>
  </si>
  <si>
    <t>Restricted Grants-In-Aid From Federal Gov't Thru State</t>
  </si>
  <si>
    <t>II.  SUPPORT SERVICES PROGRAMS</t>
  </si>
  <si>
    <t>A.  Pupil Support Services</t>
  </si>
  <si>
    <t>TOTAL I.  INSTRUCTION</t>
  </si>
  <si>
    <t>B.  Instructional Staff Services</t>
  </si>
  <si>
    <t>D.  School Administration</t>
  </si>
  <si>
    <t>E.  Business Services</t>
  </si>
  <si>
    <t>F.  Operation and Maintenance of Plant Services</t>
  </si>
  <si>
    <t>G.  Student Transportation Services</t>
  </si>
  <si>
    <t>H.  Central Services</t>
  </si>
  <si>
    <t>Debt Service</t>
  </si>
  <si>
    <t>REVENUES FROM LOCAL SOURCES</t>
  </si>
  <si>
    <t xml:space="preserve"> </t>
  </si>
  <si>
    <t>1200</t>
  </si>
  <si>
    <t>Earnings on Investments</t>
  </si>
  <si>
    <t>Food Service</t>
  </si>
  <si>
    <t>Community Service Activities</t>
  </si>
  <si>
    <t>Other Revenue From Local Sources</t>
  </si>
  <si>
    <t>Contributions and Donations</t>
  </si>
  <si>
    <t>1920</t>
  </si>
  <si>
    <t>Books and Supplies Sold</t>
  </si>
  <si>
    <t>1940</t>
  </si>
  <si>
    <t>REVENUE FROM STATE SOURCES</t>
  </si>
  <si>
    <t>Unrestricted Grants-In-Aid</t>
  </si>
  <si>
    <t>Other Unrestricted Revenues</t>
  </si>
  <si>
    <t>3190</t>
  </si>
  <si>
    <t>Restricted Grants-In-Aid</t>
  </si>
  <si>
    <t>Education Support Fund (8g)</t>
  </si>
  <si>
    <t>3220</t>
  </si>
  <si>
    <t>PIP</t>
  </si>
  <si>
    <t>3230</t>
  </si>
  <si>
    <t>Other Restricted Revenues</t>
  </si>
  <si>
    <t>3290</t>
  </si>
  <si>
    <t>REVENUE FROM FEDERAL SOURCES</t>
  </si>
  <si>
    <t>Impact Aid Fund</t>
  </si>
  <si>
    <t>4110</t>
  </si>
  <si>
    <t>Other Restricted Grants - Direct</t>
  </si>
  <si>
    <t>4390</t>
  </si>
  <si>
    <t>School Food Service</t>
  </si>
  <si>
    <t>4515</t>
  </si>
  <si>
    <t>Special Education</t>
  </si>
  <si>
    <t>4531</t>
  </si>
  <si>
    <t>4532</t>
  </si>
  <si>
    <t>4535</t>
  </si>
  <si>
    <t>4541</t>
  </si>
  <si>
    <t>4542</t>
  </si>
  <si>
    <t>4543</t>
  </si>
  <si>
    <t>4544</t>
  </si>
  <si>
    <t>4545</t>
  </si>
  <si>
    <t>4546</t>
  </si>
  <si>
    <t>Other Restricted Grants through State</t>
  </si>
  <si>
    <t>4590</t>
  </si>
  <si>
    <t>Revenue For/On Behalf of the LEA</t>
  </si>
  <si>
    <t>Value of USDA Commodities</t>
  </si>
  <si>
    <t>4920</t>
  </si>
  <si>
    <t>Salaries</t>
  </si>
  <si>
    <t>112</t>
  </si>
  <si>
    <t>Aides</t>
  </si>
  <si>
    <t>115</t>
  </si>
  <si>
    <t>1100</t>
  </si>
  <si>
    <t>Substitute Teachers and Aides</t>
  </si>
  <si>
    <t>123</t>
  </si>
  <si>
    <t>Purchased Professional and Technical Services</t>
  </si>
  <si>
    <t>300</t>
  </si>
  <si>
    <t>Repairs and Maintenance Services</t>
  </si>
  <si>
    <t>430</t>
  </si>
  <si>
    <t>Travel Expense Reimbursement</t>
  </si>
  <si>
    <t>582</t>
  </si>
  <si>
    <t xml:space="preserve">Instructional Supplies </t>
  </si>
  <si>
    <t>610</t>
  </si>
  <si>
    <t>Textbooks/Workbooks</t>
  </si>
  <si>
    <t>642</t>
  </si>
  <si>
    <t>Equipment</t>
  </si>
  <si>
    <t>730</t>
  </si>
  <si>
    <t>Miscellaneous Expenditures</t>
  </si>
  <si>
    <t>890</t>
  </si>
  <si>
    <t>210</t>
  </si>
  <si>
    <t>Social Security</t>
  </si>
  <si>
    <t>220</t>
  </si>
  <si>
    <t>Medicare</t>
  </si>
  <si>
    <t>225</t>
  </si>
  <si>
    <t>Unemployment Compensation</t>
  </si>
  <si>
    <t>250</t>
  </si>
  <si>
    <t>Workmen's Compensation</t>
  </si>
  <si>
    <t>260</t>
  </si>
  <si>
    <t>TOTAL A. Regular Program Expenditures</t>
  </si>
  <si>
    <t>1210</t>
  </si>
  <si>
    <t>113</t>
  </si>
  <si>
    <t>Instructional Supplies</t>
  </si>
  <si>
    <t>Materials and Supplies</t>
  </si>
  <si>
    <t>Rental of Equipment and Vehicles</t>
  </si>
  <si>
    <t>442</t>
  </si>
  <si>
    <t>Fleet Insurance</t>
  </si>
  <si>
    <t>523</t>
  </si>
  <si>
    <t>626</t>
  </si>
  <si>
    <t>810</t>
  </si>
  <si>
    <t>Teachers</t>
  </si>
  <si>
    <t>111</t>
  </si>
  <si>
    <t>114</t>
  </si>
  <si>
    <t>Pupil Assessment and Appraisal Services</t>
  </si>
  <si>
    <t>TOTAL A. Pupil Support Services</t>
  </si>
  <si>
    <t>Instruction and Curriculum Development Services</t>
  </si>
  <si>
    <t>Instructional Staff Training Services</t>
  </si>
  <si>
    <t>School Library Services</t>
  </si>
  <si>
    <t>TOTAL B. Instructional Staff Services</t>
  </si>
  <si>
    <t>2311</t>
  </si>
  <si>
    <t>Legal Services</t>
  </si>
  <si>
    <t>Audit Services</t>
  </si>
  <si>
    <t>333</t>
  </si>
  <si>
    <t>Insurance (Other than Emp. Benefits)</t>
  </si>
  <si>
    <t>Advertising</t>
  </si>
  <si>
    <t>540</t>
  </si>
  <si>
    <t>Dues and Fees</t>
  </si>
  <si>
    <t>Judgements</t>
  </si>
  <si>
    <t>820</t>
  </si>
  <si>
    <t>TOTAL C. General Administration</t>
  </si>
  <si>
    <t>Principals</t>
  </si>
  <si>
    <t>2410</t>
  </si>
  <si>
    <t>Assistant Principals</t>
  </si>
  <si>
    <t>2420</t>
  </si>
  <si>
    <t>Clerical/Secretarial</t>
  </si>
  <si>
    <t>2400</t>
  </si>
  <si>
    <t>Telephone and Postage</t>
  </si>
  <si>
    <t>530</t>
  </si>
  <si>
    <t xml:space="preserve">TOTAL D. School Administration </t>
  </si>
  <si>
    <t xml:space="preserve">Fiscal Services (Internal Auditing, Budgeting, </t>
  </si>
  <si>
    <t>Payroll, Financial and Property Accounting, etc.)</t>
  </si>
  <si>
    <t>2510</t>
  </si>
  <si>
    <t>340</t>
  </si>
  <si>
    <t>Postage</t>
  </si>
  <si>
    <t>Interest (short-term loans)</t>
  </si>
  <si>
    <t>830</t>
  </si>
  <si>
    <t>2513</t>
  </si>
  <si>
    <t>TOTAL E. Business Services</t>
  </si>
  <si>
    <t>2620</t>
  </si>
  <si>
    <t>2600</t>
  </si>
  <si>
    <t>2640</t>
  </si>
  <si>
    <t>Rental of Land</t>
  </si>
  <si>
    <t>441</t>
  </si>
  <si>
    <t>Gasoline</t>
  </si>
  <si>
    <t>Operating Buildings</t>
  </si>
  <si>
    <t>Building Rental/Lease</t>
  </si>
  <si>
    <t>Water/Sewage</t>
  </si>
  <si>
    <t>411</t>
  </si>
  <si>
    <t>Disposal Services</t>
  </si>
  <si>
    <t>421</t>
  </si>
  <si>
    <t>Custodial Services</t>
  </si>
  <si>
    <t>423</t>
  </si>
  <si>
    <t>Property Insurance</t>
  </si>
  <si>
    <t>522</t>
  </si>
  <si>
    <t>Telephone</t>
  </si>
  <si>
    <t>Care and Upkeep of Grounds</t>
  </si>
  <si>
    <t>Care and Upkeep of Equipment</t>
  </si>
  <si>
    <t>Vehicle Operation and Maintenance</t>
  </si>
  <si>
    <t>TOTAL F. Operation &amp; Maintenance of Plant Services</t>
  </si>
  <si>
    <t>Regular Transportation Services</t>
  </si>
  <si>
    <t>2721</t>
  </si>
  <si>
    <t>Payments in Lieu of Transportation</t>
  </si>
  <si>
    <t>519</t>
  </si>
  <si>
    <t>Gasoline/Diesel</t>
  </si>
  <si>
    <t>TOTAL G. Student Transportation Services</t>
  </si>
  <si>
    <t xml:space="preserve">  </t>
  </si>
  <si>
    <t>2830</t>
  </si>
  <si>
    <t>Fingerprinting and Background Check</t>
  </si>
  <si>
    <t>339</t>
  </si>
  <si>
    <t>Data Processing Services</t>
  </si>
  <si>
    <t>Technical Services</t>
  </si>
  <si>
    <t>TOTAL H. Central Services</t>
  </si>
  <si>
    <t>III. OPERATION OF NON-INSTRUCTIONAL SERVICES</t>
  </si>
  <si>
    <t xml:space="preserve">Salaries </t>
  </si>
  <si>
    <t>3100</t>
  </si>
  <si>
    <t>Food Service Management</t>
  </si>
  <si>
    <t>570</t>
  </si>
  <si>
    <t>620</t>
  </si>
  <si>
    <t>TOTAL A. Food Service Operations</t>
  </si>
  <si>
    <t>3300</t>
  </si>
  <si>
    <t>SERVICE EXPENDITURES</t>
  </si>
  <si>
    <t>4500</t>
  </si>
  <si>
    <t>Architect/Engineering Services</t>
  </si>
  <si>
    <t>334</t>
  </si>
  <si>
    <t>4300</t>
  </si>
  <si>
    <t>Construction Services</t>
  </si>
  <si>
    <t>450</t>
  </si>
  <si>
    <t>Building Improvements - Renovate/Remodel</t>
  </si>
  <si>
    <t>4600</t>
  </si>
  <si>
    <t>4000</t>
  </si>
  <si>
    <t>TOTAL IV. FACILITY ACQUISITION AND CONSTRUCTION</t>
  </si>
  <si>
    <t>5100</t>
  </si>
  <si>
    <t>Banking Services</t>
  </si>
  <si>
    <t>Interest (long-term)</t>
  </si>
  <si>
    <t>Redemption of Principal</t>
  </si>
  <si>
    <t>910</t>
  </si>
  <si>
    <t>TOTAL I - V.  ALL EXPENDITURES</t>
  </si>
  <si>
    <t>TOTAL VI.  OTHER FINANCING SOURCES (USES)</t>
  </si>
  <si>
    <t>FUND BALANCES</t>
  </si>
  <si>
    <t>15XX</t>
  </si>
  <si>
    <t>16XX</t>
  </si>
  <si>
    <t>199X</t>
  </si>
  <si>
    <t>Employer's Contribution to Retirement</t>
  </si>
  <si>
    <t>23X</t>
  </si>
  <si>
    <t>Varies</t>
  </si>
  <si>
    <t>11X</t>
  </si>
  <si>
    <t>52X</t>
  </si>
  <si>
    <t>58X</t>
  </si>
  <si>
    <t>23XX</t>
  </si>
  <si>
    <t>28XX</t>
  </si>
  <si>
    <t>Travel Reimbursement &amp; Mileage</t>
  </si>
  <si>
    <t>Food (Purchased &amp; Commodities)</t>
  </si>
  <si>
    <t>63X</t>
  </si>
  <si>
    <t>TOTAL II.  SUPPORT SERVICE EXPENDITURES</t>
  </si>
  <si>
    <t>TOTAL III.  OPERATION OF NON-INSTRUCTIONAL</t>
  </si>
  <si>
    <t>Object Code</t>
  </si>
  <si>
    <t>Function Code</t>
  </si>
  <si>
    <t>Year 1</t>
  </si>
  <si>
    <t>Year 2</t>
  </si>
  <si>
    <t>Year 3</t>
  </si>
  <si>
    <t>Year 4</t>
  </si>
  <si>
    <t>Year 5</t>
  </si>
  <si>
    <t>Description</t>
  </si>
  <si>
    <t>21XX</t>
  </si>
  <si>
    <t>Salaries of Directors, Supervisors, Coordinators, ect.</t>
  </si>
  <si>
    <t>Furniture and Equipment</t>
  </si>
  <si>
    <t>73X</t>
  </si>
  <si>
    <t>25XX</t>
  </si>
  <si>
    <t>26XX</t>
  </si>
  <si>
    <t>3XX</t>
  </si>
  <si>
    <t>27XX</t>
  </si>
  <si>
    <t>Natural Gas and Electricity</t>
  </si>
  <si>
    <t>62X</t>
  </si>
  <si>
    <t>Purchased Property Services</t>
  </si>
  <si>
    <t>4XX</t>
  </si>
  <si>
    <t>5XXX</t>
  </si>
  <si>
    <t>52XX</t>
  </si>
  <si>
    <t>EXCESS (DEFICIENCY) OF REVENUE AND OTHER SOURCES</t>
  </si>
  <si>
    <t>Other Miscellaneous Revenues</t>
  </si>
  <si>
    <t>Unrestricted Grants-In-Aid Direct From the Federal Gov't</t>
  </si>
  <si>
    <t>Restricted Grants-In-Aid Direct From the Federal Gov't</t>
  </si>
  <si>
    <t xml:space="preserve">    IDEA - Part B</t>
  </si>
  <si>
    <t xml:space="preserve">    IDEA - Preschool</t>
  </si>
  <si>
    <t xml:space="preserve">    Other Special Education Programs</t>
  </si>
  <si>
    <t xml:space="preserve">    Title I</t>
  </si>
  <si>
    <t xml:space="preserve">    Title I, Part C - Migrant</t>
  </si>
  <si>
    <t xml:space="preserve">    Title IV - Safe and Drug Free Schools / Comm.</t>
  </si>
  <si>
    <t xml:space="preserve">    Other IASA Programs</t>
  </si>
  <si>
    <t>22XX</t>
  </si>
  <si>
    <t>Travel &amp; Mileage Expense Reimbursement</t>
  </si>
  <si>
    <t>REVENUES:</t>
  </si>
  <si>
    <t xml:space="preserve"> TOTAL REVENUE FROM FEDERAL SOURCES</t>
  </si>
  <si>
    <t>TOTAL REVENUES FROM LOCAL SOURCES</t>
  </si>
  <si>
    <t>TOTAL REVENUE FROM STATE SOURCES</t>
  </si>
  <si>
    <t>TOTAL REVENUES AND OTHER SOURCES OF FUNDS</t>
  </si>
  <si>
    <t>School Name:  _______________________________________</t>
  </si>
  <si>
    <t>EXPENDITURES:</t>
  </si>
  <si>
    <t>A.  Regular Programs - Elementary/Secondary</t>
  </si>
  <si>
    <t xml:space="preserve">      Programs, Adult Ed., and Other Programs)</t>
  </si>
  <si>
    <t xml:space="preserve">C.  Other Instructional Programs (Vocational Ed., Special </t>
  </si>
  <si>
    <t>1XXX</t>
  </si>
  <si>
    <t>No Child Left Behind (NCLB)</t>
  </si>
  <si>
    <t xml:space="preserve">    Title V - Innovative Education Programs</t>
  </si>
  <si>
    <t xml:space="preserve">    Title II - Teacher &amp; Principal Training/Recuiting</t>
  </si>
  <si>
    <r>
      <t xml:space="preserve">Child Welfare and Attendance Svcs. </t>
    </r>
    <r>
      <rPr>
        <sz val="8"/>
        <rFont val="Arial"/>
        <family val="2"/>
      </rPr>
      <t>(Supervisor/Secretarial)</t>
    </r>
  </si>
  <si>
    <r>
      <t>Health Services</t>
    </r>
    <r>
      <rPr>
        <sz val="8"/>
        <rFont val="Arial"/>
        <family val="2"/>
      </rPr>
      <t xml:space="preserve"> (Nurse)</t>
    </r>
  </si>
  <si>
    <t>(additional object codes may need to be added)</t>
  </si>
  <si>
    <r>
      <t xml:space="preserve">Other Sources of Funds </t>
    </r>
    <r>
      <rPr>
        <i/>
        <sz val="9"/>
        <rFont val="Arial"/>
        <family val="2"/>
      </rPr>
      <t>(Provide Detail)</t>
    </r>
  </si>
  <si>
    <t>Therapists (OT,PT,Speech,etc.)</t>
  </si>
  <si>
    <t>V. DEBT SERVICE</t>
  </si>
  <si>
    <t>TOTAL V.  DEBT SERVICE</t>
  </si>
  <si>
    <t>A.  Food Service Operations</t>
  </si>
  <si>
    <t>B.  Community Service Operations (e.g. 4-H programs)</t>
  </si>
  <si>
    <t>TOTAL B. Community Service Operations</t>
  </si>
  <si>
    <t>VI.  OTHER FINANCING USES</t>
  </si>
  <si>
    <t>C.  General Administration</t>
  </si>
  <si>
    <t>Local Per Pupil Aid</t>
  </si>
  <si>
    <t>State Per Pupil Aid</t>
  </si>
  <si>
    <t>Group Health Insurance</t>
  </si>
  <si>
    <r>
      <t xml:space="preserve">Dues and Fees </t>
    </r>
    <r>
      <rPr>
        <sz val="9"/>
        <rFont val="Arial"/>
        <family val="2"/>
      </rPr>
      <t>(Southern Association, etc.)</t>
    </r>
  </si>
  <si>
    <r>
      <t>Technical Services (</t>
    </r>
    <r>
      <rPr>
        <sz val="9"/>
        <rFont val="Arial"/>
        <family val="2"/>
      </rPr>
      <t>Bank Charges)</t>
    </r>
  </si>
  <si>
    <r>
      <t xml:space="preserve">Salaries </t>
    </r>
    <r>
      <rPr>
        <sz val="8"/>
        <rFont val="Arial"/>
        <family val="2"/>
      </rPr>
      <t>(Custodians, Security, Crossing Patrol)</t>
    </r>
  </si>
  <si>
    <r>
      <t xml:space="preserve">Salaries </t>
    </r>
    <r>
      <rPr>
        <sz val="9"/>
        <rFont val="Arial"/>
        <family val="2"/>
      </rPr>
      <t>(Bus Driver &amp; Substitutes)</t>
    </r>
  </si>
  <si>
    <t>July</t>
  </si>
  <si>
    <t>August</t>
  </si>
  <si>
    <t>September</t>
  </si>
  <si>
    <t>October</t>
  </si>
  <si>
    <t>November</t>
  </si>
  <si>
    <t>December</t>
  </si>
  <si>
    <t>January</t>
  </si>
  <si>
    <t>February</t>
  </si>
  <si>
    <t>March</t>
  </si>
  <si>
    <t>April</t>
  </si>
  <si>
    <t>May</t>
  </si>
  <si>
    <t>June</t>
  </si>
  <si>
    <t>Total</t>
  </si>
  <si>
    <t>School Name:  ______________________________________________________</t>
  </si>
  <si>
    <t>Amount</t>
  </si>
  <si>
    <t>Assumption</t>
  </si>
  <si>
    <t>REVENUES</t>
  </si>
  <si>
    <t>Start-Up Grants</t>
  </si>
  <si>
    <t xml:space="preserve">Other Revenue   </t>
  </si>
  <si>
    <t>TOTAL REVENUES</t>
  </si>
  <si>
    <t>EXPENDITURES</t>
  </si>
  <si>
    <t>Administrative Expenses</t>
  </si>
  <si>
    <t>Principal</t>
  </si>
  <si>
    <t>Administrative Staff</t>
  </si>
  <si>
    <t>Payroll Taxes</t>
  </si>
  <si>
    <t>Benefits</t>
  </si>
  <si>
    <t>Staff Development</t>
  </si>
  <si>
    <t>Recruiting/Marketing</t>
  </si>
  <si>
    <t xml:space="preserve">Total Administrative </t>
  </si>
  <si>
    <t>Supplies and Equipment</t>
  </si>
  <si>
    <t>Instructional Materials</t>
  </si>
  <si>
    <t>Office Supplies</t>
  </si>
  <si>
    <t>Postage/Printing/Copying</t>
  </si>
  <si>
    <t>Phone System</t>
  </si>
  <si>
    <t>Total Supplies &amp; Equipment</t>
  </si>
  <si>
    <t>Facility</t>
  </si>
  <si>
    <t>Capital Expenditures</t>
  </si>
  <si>
    <t>Building Fit-Out</t>
  </si>
  <si>
    <t>Renovations &amp; Repairs</t>
  </si>
  <si>
    <t>Rent/Lease</t>
  </si>
  <si>
    <t>Fixtures &amp; Furnishings</t>
  </si>
  <si>
    <t>Utilities</t>
  </si>
  <si>
    <t>Insurance</t>
  </si>
  <si>
    <t>Security</t>
  </si>
  <si>
    <t>Total Facility</t>
  </si>
  <si>
    <t>Contractual</t>
  </si>
  <si>
    <t>Consultants</t>
  </si>
  <si>
    <t>Legal and Accounting</t>
  </si>
  <si>
    <t>Total Contractual</t>
  </si>
  <si>
    <t>TOTAL EXPENDITURES</t>
  </si>
  <si>
    <t>Cumulative Fund Balance:</t>
  </si>
  <si>
    <t>here</t>
  </si>
  <si>
    <t>If the non-profit applying for the charter application was established for a purpose other than submitting a charter application, please submit the non-profit’s most recent audited financial statements as a separate PDF file.</t>
  </si>
  <si>
    <t>There are two resources that will help you complete your financial submission:</t>
  </si>
  <si>
    <r>
      <rPr>
        <sz val="11"/>
        <rFont val="Wingdings"/>
        <charset val="2"/>
      </rPr>
      <t>§</t>
    </r>
    <r>
      <rPr>
        <sz val="11"/>
        <rFont val="Calibri"/>
        <family val="2"/>
      </rPr>
      <t xml:space="preserve"> The Louisiana Accounting and Universal Government Handbook (LAUGH) guide can be found:</t>
    </r>
  </si>
  <si>
    <r>
      <rPr>
        <sz val="11"/>
        <rFont val="Wingdings"/>
        <charset val="2"/>
      </rPr>
      <t>§</t>
    </r>
    <r>
      <rPr>
        <sz val="11"/>
        <rFont val="Calibri"/>
        <family val="2"/>
      </rPr>
      <t xml:space="preserve"> A revenue projection tool that you may use to model various local, state, and federal revenues can be found:</t>
    </r>
  </si>
  <si>
    <t xml:space="preserve">School Name: </t>
  </si>
  <si>
    <t>Year 1 Operating Statement of Activities</t>
  </si>
  <si>
    <t>Operating Statement of Activities</t>
  </si>
  <si>
    <t>Year 1 Cash Flow Projection</t>
  </si>
  <si>
    <t xml:space="preserve">In one excel spreadsheet, please include each of the following financial statements in a different tab.  You may save your work directly into the tabs included in this Excel file or you may use an Excel file of your own design.  In all financial statements, budget conservatively and include your assumptions. </t>
  </si>
  <si>
    <r>
      <t>A note about assumptions:</t>
    </r>
    <r>
      <rPr>
        <sz val="11"/>
        <rFont val="Arial"/>
        <family val="2"/>
      </rPr>
      <t xml:space="preserve"> For all line items related to staffing, assumptions should at a minimum include the number of staff members, whether they will be employees or contractors, and, if contractors, the nature of their work.</t>
    </r>
  </si>
  <si>
    <r>
      <t xml:space="preserve">A note about assumptions: </t>
    </r>
    <r>
      <rPr>
        <sz val="11"/>
        <rFont val="Arial"/>
        <family val="2"/>
      </rPr>
      <t>For all line items related to staffing, assumptions should at a minimum include the number of staff members in each year, whether they will be employees or contractors, and, if contractors, the nature of their work.</t>
    </r>
  </si>
  <si>
    <t>SPED Tier 1</t>
  </si>
  <si>
    <t>SPED Tier 2</t>
  </si>
  <si>
    <t>SPED Tier 3</t>
  </si>
  <si>
    <t>SPED Tier 4</t>
  </si>
  <si>
    <t>SPED Tier 5</t>
  </si>
  <si>
    <t>G/T</t>
  </si>
  <si>
    <t>ELL</t>
  </si>
  <si>
    <t>Overage</t>
  </si>
  <si>
    <t>K-8 Base (state + local)</t>
  </si>
  <si>
    <t>HS (9-12) Base</t>
  </si>
  <si>
    <t xml:space="preserve">In developing your per-pupil MFP revenue, use your Enrollment Projection (Appendix 9).
</t>
  </si>
  <si>
    <t>Instructions:</t>
  </si>
  <si>
    <r>
      <rPr>
        <b/>
        <sz val="10"/>
        <rFont val="Arial"/>
        <family val="2"/>
      </rPr>
      <t>MFP Allocations for previous 3 years:</t>
    </r>
    <r>
      <rPr>
        <sz val="10"/>
        <rFont val="Arial"/>
        <family val="2"/>
      </rPr>
      <t xml:space="preserve">
FY 2017-18 $9,122.16 per pupil
FY 2016-17 $9,159.88 per pupil
FY 2015-16 $9,488.00 per pupil
</t>
    </r>
  </si>
  <si>
    <r>
      <rPr>
        <b/>
        <sz val="10"/>
        <rFont val="Arial"/>
        <family val="2"/>
      </rPr>
      <t>Title I Allocations for previous 3 years:</t>
    </r>
    <r>
      <rPr>
        <sz val="10"/>
        <rFont val="Arial"/>
        <family val="2"/>
      </rPr>
      <t xml:space="preserve">
FY 2017-18 $600.79 per pupil
FY 2016-17 $829.00 per pupil
FY 2015-16 $712.00 per pupil
</t>
    </r>
  </si>
  <si>
    <t xml:space="preserve">In determining your revenue projections for the term of the charter, you may wish to take into account the historical public funding information provided here. Please include in the budget narrative your assumptions regarding the growth in state/local per pupil (MFP), and levels of federal Title funding </t>
  </si>
  <si>
    <r>
      <t xml:space="preserve">Per-pupil MFP funding is allocated to schools in Orleans Parish based on a differentiated funding model that allocates funding based on student characteristics. 
Revenue is calculated by multiplying the number of students in each category by the dollar amounts below. </t>
    </r>
    <r>
      <rPr>
        <b/>
        <sz val="12"/>
        <rFont val="Calibri"/>
        <family val="2"/>
      </rPr>
      <t xml:space="preserve"> In generating your projections, please use dollar amounts in the table to the right.</t>
    </r>
    <r>
      <rPr>
        <sz val="12"/>
        <rFont val="Calibri"/>
        <family val="2"/>
      </rPr>
      <t xml:space="preserve">
Dollar amounts are rounded and change each year based on the model, but can be used for revenue projection.  You may use actual numbers, particularly if reflecting the budget of an existing school.  If you choose to do so, please include this assumption in your budget narrative.</t>
    </r>
  </si>
  <si>
    <r>
      <t>(1)</t>
    </r>
    <r>
      <rPr>
        <sz val="7"/>
        <rFont val="Times New Roman"/>
        <family val="1"/>
      </rPr>
      <t xml:space="preserve">  </t>
    </r>
    <r>
      <rPr>
        <sz val="11"/>
        <rFont val="Calibri"/>
        <family val="2"/>
      </rPr>
      <t xml:space="preserve">Start-Up Statement of Activities (up to the July 1 prior to school opening).  The start-up statement of activities should list all anticipated revenue and expenditures in the period leading up to the fiscal year in which your proposed school would open.  </t>
    </r>
  </si>
  <si>
    <r>
      <t>(2)</t>
    </r>
    <r>
      <rPr>
        <sz val="7"/>
        <rFont val="Times New Roman"/>
        <family val="1"/>
      </rPr>
      <t xml:space="preserve">  </t>
    </r>
    <r>
      <rPr>
        <sz val="11"/>
        <rFont val="Calibri"/>
        <family val="2"/>
      </rPr>
      <t xml:space="preserve">Year One Statement of Activities (July 1 to June 30 of first year of operation).  The Year One statement of activities should list all anticipated revenue and expenditures in the fiscal year in which your proposed school would open.  </t>
    </r>
  </si>
  <si>
    <t>(3)  Operating Statement of Activities. The operating statement of activities should describe all anticipated revenue and expenditures from the July 1 immediately prior to school opening to either (a) the June 30 immediately following the end of year 5 of operations, or (b) the June 30 immediately following the end of the first school year in which your school serves all planned grades, whichever is longer.  If you use this Excel file to complete your financial submission, please complete both the Operating Statement of Activities tab and the detailed Year 1 Operating Statement of Activities tab.</t>
  </si>
  <si>
    <t>(4)  First Year Monthly Cash Flow Projection (July 1 prior to opening to June 30 after year 1).  This projection should forecast your school's incoming and outgoing cash flows during the first year of operation.</t>
  </si>
  <si>
    <t>10/1 Total</t>
  </si>
  <si>
    <t>SPED - Tier 1</t>
  </si>
  <si>
    <t>SPED - Tier 2</t>
  </si>
  <si>
    <t>SPED - Tier 3</t>
  </si>
  <si>
    <t>SPED - Tier 4</t>
  </si>
  <si>
    <t>SPED - Tier 5</t>
  </si>
  <si>
    <t>Gifted and Talented (G&amp;T)</t>
  </si>
  <si>
    <t>English Language Learner (ELL)</t>
  </si>
  <si>
    <t>2+ Years Overage</t>
  </si>
  <si>
    <t>Gifted and Talented</t>
  </si>
  <si>
    <t>Authorizer Fee (percent of MFP)</t>
  </si>
  <si>
    <t>Contingency (precent of total revenue)</t>
  </si>
  <si>
    <t>Benefit Rate</t>
  </si>
  <si>
    <t>Full-Time</t>
  </si>
  <si>
    <t>Medical</t>
  </si>
  <si>
    <t>Dental</t>
  </si>
  <si>
    <t>Vision</t>
  </si>
  <si>
    <t>Life Insurance</t>
  </si>
  <si>
    <t>Short-term Disability</t>
  </si>
  <si>
    <t>Unemployment</t>
  </si>
  <si>
    <t>403(b) Match</t>
  </si>
  <si>
    <t>Breakfast</t>
  </si>
  <si>
    <t>Lunch</t>
  </si>
  <si>
    <t>Snack</t>
  </si>
  <si>
    <t>Supper</t>
  </si>
  <si>
    <t>School Days</t>
  </si>
  <si>
    <t>Days</t>
  </si>
  <si>
    <t>Percent</t>
  </si>
  <si>
    <t>n/a</t>
  </si>
  <si>
    <t>MFP State - Pay Raise Continuation</t>
  </si>
  <si>
    <t>Federal Block Grant Revenue</t>
  </si>
  <si>
    <t>Title I</t>
  </si>
  <si>
    <t>Title II - Part A</t>
  </si>
  <si>
    <t>Title III</t>
  </si>
  <si>
    <t>Title IV</t>
  </si>
  <si>
    <t>Individuals with Disabilities Education Act (IDEA) - Part B</t>
  </si>
  <si>
    <t>Individuals with Disabilities Education Act (IDEA) - PK</t>
  </si>
  <si>
    <t>High Cost Services</t>
  </si>
  <si>
    <t>Supplemental Course Allocation</t>
  </si>
  <si>
    <t>Medicaid</t>
  </si>
  <si>
    <t>Food Service Cost</t>
  </si>
  <si>
    <t>USDA / USDOD Commodity Credit</t>
  </si>
  <si>
    <t>contracted legal services</t>
  </si>
  <si>
    <t>employee health clinics and team &amp; family recognition events</t>
  </si>
  <si>
    <t>flood, general liability, workers comp</t>
  </si>
  <si>
    <t>community membership dues</t>
  </si>
  <si>
    <t>AM/PM routes, SPED AM/PM routes, and event, orientation, and fieldtrip transportation</t>
  </si>
  <si>
    <t>KIPP foundation programming</t>
  </si>
  <si>
    <t>SPED and ESY supplies</t>
  </si>
  <si>
    <t>enrichment and summer school supplies</t>
  </si>
  <si>
    <t>student recruitment</t>
  </si>
  <si>
    <t>classroom software and supplies and teacher PD supplies,</t>
  </si>
  <si>
    <t>admin, parent event, maintenance, software, and teacher computer supplies</t>
  </si>
  <si>
    <t>Band &amp; Sports Event Fees</t>
  </si>
  <si>
    <t>Contingency (1% of revenue)</t>
  </si>
  <si>
    <t>SSC Management Fee (percent of total revenue)</t>
  </si>
  <si>
    <t>Filter</t>
  </si>
  <si>
    <t>*</t>
  </si>
  <si>
    <t>OPSB Property Insurance (per pupil)</t>
  </si>
  <si>
    <t>MFP Per Pupil Revenue</t>
  </si>
  <si>
    <t>KIPP Foundation Fee</t>
  </si>
  <si>
    <t>contracted student support services (e.g. OT, PT, evaluations, etc.)</t>
  </si>
  <si>
    <t>contracted after school program and extracurricular services</t>
  </si>
  <si>
    <t>Stipends (including benefit expense)</t>
  </si>
  <si>
    <t>xxxx</t>
  </si>
  <si>
    <t>Administrative fee</t>
  </si>
  <si>
    <t>KNOS Notes</t>
  </si>
  <si>
    <t>Post YE CF</t>
  </si>
  <si>
    <t>Benefits Rate</t>
  </si>
  <si>
    <t>KNOS Tracking:</t>
  </si>
  <si>
    <t>Total Revenue</t>
  </si>
  <si>
    <t>Total Expense</t>
  </si>
  <si>
    <t xml:space="preserve">  growth</t>
  </si>
  <si>
    <t>NI</t>
  </si>
  <si>
    <t>Margin</t>
  </si>
  <si>
    <t>Fund balance (as % of expense)</t>
  </si>
  <si>
    <t>Fund balance</t>
  </si>
  <si>
    <t xml:space="preserve">  margin</t>
  </si>
  <si>
    <t xml:space="preserve">  % of expense</t>
  </si>
  <si>
    <t>KIPP New Orleans</t>
  </si>
  <si>
    <t>TANF Funding</t>
  </si>
  <si>
    <t>XXXX</t>
  </si>
  <si>
    <t>MFP Local - FY18 Deferred Revenue</t>
  </si>
  <si>
    <t>High School</t>
  </si>
  <si>
    <t>School leader PD and Principal development</t>
  </si>
  <si>
    <t>copier rentals and other equipment rentals</t>
  </si>
  <si>
    <t>Interim printing for textbooks</t>
  </si>
  <si>
    <t>MFP Base (State + Local)</t>
  </si>
  <si>
    <t>Enrollment (9-12)</t>
  </si>
  <si>
    <t>partner fees (e.g. TFA), teacher development, ACT prep</t>
  </si>
  <si>
    <t>Buses</t>
  </si>
  <si>
    <t>Transportation</t>
  </si>
  <si>
    <t>Staffing</t>
  </si>
  <si>
    <t>Total FTEs</t>
  </si>
  <si>
    <t>$118 per pupil</t>
  </si>
  <si>
    <t>USDA Reimbursement</t>
  </si>
  <si>
    <t>Per pupil rate</t>
  </si>
  <si>
    <t>Growth rate</t>
  </si>
  <si>
    <t>Distr. %</t>
  </si>
  <si>
    <t>Year 2 Operating Statement of Activities</t>
  </si>
  <si>
    <t>Year 3 Operating Statement of Activities</t>
  </si>
  <si>
    <t>Year 4 Operating Statement of Activities</t>
  </si>
  <si>
    <t>Other Recurring State and Local Revenue</t>
  </si>
  <si>
    <t>Non-recurring Revenue</t>
  </si>
  <si>
    <t>Miscellaneous</t>
  </si>
  <si>
    <t>Dean of Culture</t>
  </si>
  <si>
    <t>Director of School Operations</t>
  </si>
  <si>
    <t>Dean of Student Support</t>
  </si>
  <si>
    <t>Nurse</t>
  </si>
  <si>
    <t>SLP</t>
  </si>
  <si>
    <t>Classroom Lead Teacher</t>
  </si>
  <si>
    <t>Teaching Fellow</t>
  </si>
  <si>
    <t>Special Education Teacher (including AFS and BSP)</t>
  </si>
  <si>
    <t>Enrichment Teacher</t>
  </si>
  <si>
    <t>Social Worker</t>
  </si>
  <si>
    <t>Paraprofessional</t>
  </si>
  <si>
    <t>College Counselor</t>
  </si>
  <si>
    <t>ELL Teacher</t>
  </si>
  <si>
    <t>School Psychologist</t>
  </si>
  <si>
    <t>School Operations Team</t>
  </si>
  <si>
    <t>Stipends (Teacher Leader and Athletics)</t>
  </si>
  <si>
    <t>Fixed Costs (Prorated)</t>
  </si>
  <si>
    <t>Share of Enrollment</t>
  </si>
  <si>
    <t>CTE Coordinator</t>
  </si>
  <si>
    <t>Dean of Instruction</t>
  </si>
  <si>
    <t>Assistant Principal</t>
  </si>
  <si>
    <t>Roster Ratio</t>
  </si>
  <si>
    <t>Administrative Fees</t>
  </si>
  <si>
    <t>SPED ratios</t>
  </si>
  <si>
    <t>Start-Up Statement of Activities – Intentionally Omitted</t>
  </si>
  <si>
    <t>classroom technology and software supplies (over $5K)</t>
  </si>
  <si>
    <t>classroom textbooks</t>
  </si>
  <si>
    <t>Candidate recruitment</t>
  </si>
  <si>
    <t>CNP claiming service, cafeteria POS services</t>
  </si>
  <si>
    <t>See "KIPP Assumptions" worksheet</t>
  </si>
  <si>
    <t>classroom software and supplies and teacher PD supplies</t>
  </si>
  <si>
    <t>maintenance provided by regional office</t>
  </si>
  <si>
    <t>Growth Rate</t>
  </si>
  <si>
    <t>Medicaid consulting, IT consulting, contracted payroll services (ADP), accounting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</si>
</sst>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00"/>
    <numFmt numFmtId="167" formatCode="&quot;$&quot;#,##0"/>
    <numFmt numFmtId="168" formatCode="0.0000%"/>
    <numFmt numFmtId="169" formatCode="_(* #,##0.0_);_(* \(#,##0.0\);_(* &quot;-&quot;??_);_(@_)"/>
    <numFmt numFmtId="170" formatCode="_(* #,##0_);_(* \(#,##0\);_(* &quot;-&quot;??_);_(@_)"/>
    <numFmt numFmtId="171" formatCode="0.0%"/>
    <numFmt numFmtId="172" formatCode="&quot;YR &quot;#"/>
    <numFmt numFmtId="173" formatCode="0.0"/>
  </numFmts>
  <fonts count="41" x14ac:knownFonts="1">
    <font>
      <sz val="10"/>
      <name val="Arial"/>
    </font>
    <font>
      <sz val="10"/>
      <name val="Arial"/>
      <family val="2"/>
    </font>
    <font>
      <sz val="8"/>
      <name val="Arial"/>
      <family val="2"/>
    </font>
    <font>
      <sz val="10"/>
      <name val="Arial"/>
      <family val="2"/>
    </font>
    <font>
      <b/>
      <sz val="10"/>
      <name val="Arial"/>
      <family val="2"/>
    </font>
    <font>
      <b/>
      <sz val="11"/>
      <name val="Arial"/>
      <family val="2"/>
    </font>
    <font>
      <sz val="11"/>
      <name val="Arial"/>
      <family val="2"/>
    </font>
    <font>
      <b/>
      <sz val="9"/>
      <name val="Arial"/>
      <family val="2"/>
    </font>
    <font>
      <sz val="9"/>
      <name val="Arial"/>
      <family val="2"/>
    </font>
    <font>
      <i/>
      <sz val="9"/>
      <name val="Arial"/>
      <family val="2"/>
    </font>
    <font>
      <i/>
      <sz val="8"/>
      <name val="Arial"/>
      <family val="2"/>
    </font>
    <font>
      <sz val="10.5"/>
      <name val="Arial"/>
      <family val="2"/>
    </font>
    <font>
      <i/>
      <sz val="10"/>
      <name val="Arial"/>
      <family val="2"/>
    </font>
    <font>
      <u/>
      <sz val="7.5"/>
      <color indexed="12"/>
      <name val="Arial"/>
      <family val="2"/>
    </font>
    <font>
      <sz val="11"/>
      <name val="Calibri"/>
      <family val="2"/>
    </font>
    <font>
      <sz val="7"/>
      <name val="Times New Roman"/>
      <family val="1"/>
    </font>
    <font>
      <sz val="20"/>
      <name val="Arial"/>
      <family val="2"/>
    </font>
    <font>
      <sz val="11"/>
      <name val="Wingdings"/>
      <charset val="2"/>
    </font>
    <font>
      <b/>
      <sz val="12"/>
      <name val="Arial"/>
      <family val="2"/>
    </font>
    <font>
      <sz val="12"/>
      <name val="Calibri"/>
      <family val="2"/>
    </font>
    <font>
      <b/>
      <sz val="12"/>
      <name val="Calibri"/>
      <family val="2"/>
    </font>
    <font>
      <u/>
      <sz val="11"/>
      <color indexed="12"/>
      <name val="Calibri"/>
      <family val="2"/>
      <scheme val="minor"/>
    </font>
    <font>
      <b/>
      <sz val="9"/>
      <name val="Calibri"/>
      <family val="2"/>
      <scheme val="minor"/>
    </font>
    <font>
      <b/>
      <sz val="11"/>
      <name val="Calibri"/>
      <family val="2"/>
      <scheme val="minor"/>
    </font>
    <font>
      <sz val="10"/>
      <name val="Arial"/>
      <family val="2"/>
    </font>
    <font>
      <sz val="9"/>
      <color theme="1"/>
      <name val="Century Gothic"/>
      <family val="2"/>
    </font>
    <font>
      <sz val="11"/>
      <color theme="6"/>
      <name val="Arial"/>
      <family val="2"/>
    </font>
    <font>
      <sz val="10"/>
      <color theme="0"/>
      <name val="Arial"/>
      <family val="2"/>
    </font>
    <font>
      <b/>
      <sz val="11"/>
      <color theme="0"/>
      <name val="Arial"/>
      <family val="2"/>
    </font>
    <font>
      <b/>
      <sz val="10"/>
      <color theme="0"/>
      <name val="Arial"/>
      <family val="2"/>
    </font>
    <font>
      <sz val="11"/>
      <color theme="4"/>
      <name val="Arial"/>
      <family val="2"/>
    </font>
    <font>
      <sz val="11"/>
      <color rgb="FF000000"/>
      <name val="Arial"/>
      <family val="2"/>
    </font>
    <font>
      <b/>
      <sz val="11"/>
      <color theme="1"/>
      <name val="Arial"/>
      <family val="2"/>
    </font>
    <font>
      <b/>
      <i/>
      <sz val="11"/>
      <name val="Arial"/>
      <family val="2"/>
    </font>
    <font>
      <i/>
      <sz val="11"/>
      <name val="Arial"/>
      <family val="2"/>
    </font>
    <font>
      <sz val="10"/>
      <color rgb="FFFF0000"/>
      <name val="Arial"/>
      <family val="2"/>
    </font>
    <font>
      <sz val="11"/>
      <color rgb="FF0070C0"/>
      <name val="Arial"/>
      <family val="2"/>
    </font>
    <font>
      <sz val="11"/>
      <color theme="6" tint="-0.499984740745262"/>
      <name val="Arial"/>
      <family val="2"/>
    </font>
    <font>
      <sz val="10"/>
      <color theme="6" tint="-0.499984740745262"/>
      <name val="Arial"/>
      <family val="2"/>
    </font>
    <font>
      <u/>
      <sz val="11"/>
      <color rgb="FFFF0000"/>
      <name val="Arial"/>
      <family val="2"/>
    </font>
    <font>
      <sz val="11"/>
      <color theme="1"/>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3"/>
        <bgColor indexed="64"/>
      </patternFill>
    </fill>
    <fill>
      <patternFill patternType="solid">
        <fgColor theme="0" tint="-0.14999847407452621"/>
        <bgColor indexed="64"/>
      </patternFill>
    </fill>
  </fills>
  <borders count="1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top/>
      <bottom style="hair">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style="double">
        <color indexed="64"/>
      </left>
      <right/>
      <top style="double">
        <color indexed="64"/>
      </top>
      <bottom/>
      <diagonal/>
    </border>
    <border>
      <left style="double">
        <color indexed="64"/>
      </left>
      <right/>
      <top/>
      <bottom/>
      <diagonal/>
    </border>
    <border>
      <left/>
      <right/>
      <top style="double">
        <color indexed="64"/>
      </top>
      <bottom/>
      <diagonal/>
    </border>
    <border>
      <left style="double">
        <color indexed="64"/>
      </left>
      <right/>
      <top style="hair">
        <color indexed="64"/>
      </top>
      <bottom/>
      <diagonal/>
    </border>
    <border>
      <left/>
      <right/>
      <top style="hair">
        <color indexed="64"/>
      </top>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double">
        <color indexed="64"/>
      </right>
      <top style="medium">
        <color indexed="64"/>
      </top>
      <bottom style="medium">
        <color indexed="64"/>
      </bottom>
      <diagonal/>
    </border>
    <border>
      <left/>
      <right/>
      <top style="thin">
        <color indexed="64"/>
      </top>
      <bottom/>
      <diagonal/>
    </border>
    <border>
      <left style="double">
        <color indexed="64"/>
      </left>
      <right style="double">
        <color indexed="64"/>
      </right>
      <top style="medium">
        <color indexed="64"/>
      </top>
      <bottom/>
      <diagonal/>
    </border>
    <border>
      <left/>
      <right/>
      <top/>
      <bottom style="medium">
        <color indexed="64"/>
      </bottom>
      <diagonal/>
    </border>
    <border>
      <left/>
      <right style="double">
        <color indexed="64"/>
      </right>
      <top style="medium">
        <color indexed="64"/>
      </top>
      <bottom/>
      <diagonal/>
    </border>
    <border>
      <left/>
      <right/>
      <top style="medium">
        <color indexed="64"/>
      </top>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hair">
        <color indexed="64"/>
      </bottom>
      <diagonal/>
    </border>
    <border>
      <left style="thin">
        <color indexed="64"/>
      </left>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Dashed">
        <color indexed="64"/>
      </top>
      <bottom/>
      <diagonal/>
    </border>
    <border>
      <left/>
      <right/>
      <top/>
      <bottom style="mediumDashed">
        <color indexed="64"/>
      </bottom>
      <diagonal/>
    </border>
    <border>
      <left/>
      <right style="medium">
        <color indexed="64"/>
      </right>
      <top style="mediumDashed">
        <color indexed="64"/>
      </top>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Dashed">
        <color indexed="64"/>
      </top>
      <bottom/>
      <diagonal/>
    </border>
    <border>
      <left style="thin">
        <color indexed="64"/>
      </left>
      <right style="double">
        <color indexed="64"/>
      </right>
      <top/>
      <bottom style="double">
        <color indexed="64"/>
      </bottom>
      <diagonal/>
    </border>
    <border>
      <left/>
      <right style="double">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8">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43" fontId="24" fillId="0" borderId="0" applyFont="0" applyFill="0" applyBorder="0" applyAlignment="0" applyProtection="0"/>
    <xf numFmtId="9" fontId="24" fillId="0" borderId="0" applyFont="0" applyFill="0" applyBorder="0" applyAlignment="0" applyProtection="0"/>
    <xf numFmtId="0" fontId="1" fillId="0" borderId="0"/>
    <xf numFmtId="0" fontId="1" fillId="0" borderId="0"/>
    <xf numFmtId="44" fontId="25" fillId="0" borderId="0" applyFont="0" applyFill="0" applyBorder="0" applyAlignment="0" applyProtection="0"/>
  </cellStyleXfs>
  <cellXfs count="682">
    <xf numFmtId="0" fontId="0" fillId="0" borderId="0" xfId="0"/>
    <xf numFmtId="0" fontId="3" fillId="0" borderId="0" xfId="0" applyFont="1"/>
    <xf numFmtId="0" fontId="5" fillId="0" borderId="0" xfId="0" applyFont="1" applyAlignment="1">
      <alignment horizontal="center"/>
    </xf>
    <xf numFmtId="0" fontId="6" fillId="0" borderId="0" xfId="0" applyFont="1"/>
    <xf numFmtId="0" fontId="6" fillId="0" borderId="0" xfId="0" applyFont="1" applyAlignment="1">
      <alignment horizontal="left"/>
    </xf>
    <xf numFmtId="0" fontId="5" fillId="0" borderId="0" xfId="0" applyFont="1"/>
    <xf numFmtId="0" fontId="5" fillId="0" borderId="0" xfId="0" applyFont="1" applyAlignment="1">
      <alignment horizontal="centerContinuous"/>
    </xf>
    <xf numFmtId="0" fontId="6" fillId="2" borderId="1" xfId="0" applyFont="1" applyFill="1" applyBorder="1"/>
    <xf numFmtId="0" fontId="6" fillId="2" borderId="2" xfId="0" applyFont="1" applyFill="1" applyBorder="1"/>
    <xf numFmtId="0" fontId="5" fillId="0" borderId="0" xfId="0" applyFont="1" applyFill="1" applyAlignment="1">
      <alignment horizontal="centerContinuous"/>
    </xf>
    <xf numFmtId="0" fontId="6" fillId="0" borderId="3" xfId="0" applyFont="1" applyBorder="1"/>
    <xf numFmtId="0" fontId="5" fillId="0" borderId="3" xfId="0" applyFont="1" applyBorder="1"/>
    <xf numFmtId="0" fontId="6" fillId="2" borderId="3" xfId="0" applyFont="1" applyFill="1" applyBorder="1"/>
    <xf numFmtId="0" fontId="6" fillId="0" borderId="4" xfId="0" applyFont="1" applyBorder="1"/>
    <xf numFmtId="0" fontId="6" fillId="0" borderId="0" xfId="0" applyFont="1" applyBorder="1"/>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5" fillId="0" borderId="0" xfId="0" applyFont="1" applyBorder="1"/>
    <xf numFmtId="0" fontId="5" fillId="0" borderId="0" xfId="0" applyFont="1" applyBorder="1" applyAlignment="1">
      <alignment horizontal="centerContinuous"/>
    </xf>
    <xf numFmtId="0" fontId="6" fillId="0" borderId="11" xfId="0" applyFont="1" applyBorder="1" applyAlignment="1">
      <alignment horizontal="left"/>
    </xf>
    <xf numFmtId="0" fontId="6" fillId="0" borderId="12" xfId="0" applyFont="1" applyBorder="1" applyAlignment="1">
      <alignment horizontal="left"/>
    </xf>
    <xf numFmtId="0" fontId="6" fillId="2" borderId="4" xfId="0" applyFont="1" applyFill="1" applyBorder="1"/>
    <xf numFmtId="0" fontId="6" fillId="2" borderId="13" xfId="0" applyFont="1" applyFill="1" applyBorder="1"/>
    <xf numFmtId="0" fontId="6" fillId="2" borderId="14" xfId="0" applyFont="1" applyFill="1" applyBorder="1"/>
    <xf numFmtId="0" fontId="7" fillId="0" borderId="0" xfId="0" applyFont="1" applyFill="1" applyAlignment="1">
      <alignment horizontal="centerContinuous"/>
    </xf>
    <xf numFmtId="0" fontId="7" fillId="0" borderId="15" xfId="0" applyFont="1" applyFill="1" applyBorder="1" applyAlignment="1">
      <alignment horizontal="center"/>
    </xf>
    <xf numFmtId="0" fontId="8" fillId="0" borderId="14" xfId="0" applyFont="1" applyFill="1" applyBorder="1"/>
    <xf numFmtId="0" fontId="8" fillId="2" borderId="13" xfId="0" applyFont="1" applyFill="1" applyBorder="1"/>
    <xf numFmtId="0" fontId="8" fillId="0" borderId="13" xfId="0" applyFont="1" applyFill="1" applyBorder="1"/>
    <xf numFmtId="0" fontId="8" fillId="0" borderId="0" xfId="0" applyFont="1" applyFill="1"/>
    <xf numFmtId="0" fontId="8" fillId="2" borderId="14" xfId="0" applyFont="1" applyFill="1" applyBorder="1"/>
    <xf numFmtId="0" fontId="5" fillId="0" borderId="16" xfId="0" applyFont="1" applyBorder="1"/>
    <xf numFmtId="0" fontId="6" fillId="0" borderId="14" xfId="0" applyFont="1" applyBorder="1"/>
    <xf numFmtId="0" fontId="6" fillId="0" borderId="13" xfId="0" applyFont="1" applyBorder="1"/>
    <xf numFmtId="0" fontId="7" fillId="0" borderId="16" xfId="0" applyFont="1" applyFill="1" applyBorder="1" applyAlignment="1">
      <alignment horizontal="center"/>
    </xf>
    <xf numFmtId="0" fontId="8" fillId="0" borderId="15" xfId="0" applyFont="1" applyFill="1" applyBorder="1"/>
    <xf numFmtId="0" fontId="6" fillId="0" borderId="17" xfId="0" applyFont="1" applyBorder="1"/>
    <xf numFmtId="0" fontId="5" fillId="0" borderId="0" xfId="0" applyFont="1" applyBorder="1" applyAlignment="1">
      <alignment horizontal="center"/>
    </xf>
    <xf numFmtId="0" fontId="5" fillId="0" borderId="15" xfId="0" applyFont="1" applyBorder="1"/>
    <xf numFmtId="0" fontId="6" fillId="0" borderId="18" xfId="0" applyFont="1" applyBorder="1"/>
    <xf numFmtId="0" fontId="6" fillId="0" borderId="19" xfId="0" applyFont="1" applyBorder="1"/>
    <xf numFmtId="0" fontId="6" fillId="2" borderId="20" xfId="0" applyFont="1" applyFill="1" applyBorder="1"/>
    <xf numFmtId="0" fontId="6" fillId="2" borderId="21" xfId="0" applyFont="1" applyFill="1" applyBorder="1" applyAlignment="1">
      <alignment horizontal="left"/>
    </xf>
    <xf numFmtId="0" fontId="6" fillId="2" borderId="22" xfId="0" applyFont="1" applyFill="1" applyBorder="1" applyAlignment="1">
      <alignment horizontal="left"/>
    </xf>
    <xf numFmtId="0" fontId="6" fillId="2" borderId="23" xfId="0" applyFont="1" applyFill="1" applyBorder="1"/>
    <xf numFmtId="0" fontId="6" fillId="2" borderId="24" xfId="0" applyFont="1" applyFill="1" applyBorder="1"/>
    <xf numFmtId="0" fontId="6" fillId="2" borderId="25" xfId="0" applyFont="1" applyFill="1" applyBorder="1" applyAlignment="1">
      <alignment horizontal="left"/>
    </xf>
    <xf numFmtId="0" fontId="6" fillId="2" borderId="26" xfId="0" applyFont="1" applyFill="1" applyBorder="1" applyAlignment="1">
      <alignment horizontal="left"/>
    </xf>
    <xf numFmtId="0" fontId="5" fillId="2" borderId="1" xfId="0" applyFont="1" applyFill="1" applyBorder="1"/>
    <xf numFmtId="0" fontId="5" fillId="2" borderId="13" xfId="0" applyFont="1" applyFill="1" applyBorder="1"/>
    <xf numFmtId="0" fontId="5" fillId="2" borderId="3" xfId="0" applyFont="1" applyFill="1" applyBorder="1"/>
    <xf numFmtId="0" fontId="5" fillId="2" borderId="18" xfId="0" applyFont="1" applyFill="1" applyBorder="1"/>
    <xf numFmtId="0" fontId="5" fillId="2" borderId="19" xfId="0" applyFont="1" applyFill="1" applyBorder="1"/>
    <xf numFmtId="0" fontId="5" fillId="2" borderId="4" xfId="0" applyFont="1" applyFill="1" applyBorder="1"/>
    <xf numFmtId="0" fontId="8" fillId="0" borderId="27" xfId="0" applyFont="1" applyFill="1" applyBorder="1"/>
    <xf numFmtId="0" fontId="5" fillId="0" borderId="19" xfId="0" applyFont="1" applyBorder="1"/>
    <xf numFmtId="0" fontId="5" fillId="2" borderId="28" xfId="0" applyFont="1" applyFill="1" applyBorder="1"/>
    <xf numFmtId="0" fontId="5" fillId="2" borderId="29" xfId="0" applyFont="1" applyFill="1" applyBorder="1"/>
    <xf numFmtId="0" fontId="6" fillId="3" borderId="9" xfId="0" applyFont="1" applyFill="1" applyBorder="1" applyAlignment="1">
      <alignment horizontal="left"/>
    </xf>
    <xf numFmtId="0" fontId="6" fillId="3" borderId="10" xfId="0" applyFont="1" applyFill="1" applyBorder="1" applyAlignment="1">
      <alignment horizontal="left"/>
    </xf>
    <xf numFmtId="0" fontId="5" fillId="3" borderId="11" xfId="0" applyFont="1" applyFill="1" applyBorder="1" applyAlignment="1">
      <alignment horizontal="left"/>
    </xf>
    <xf numFmtId="0" fontId="5" fillId="3" borderId="12" xfId="0" applyFont="1" applyFill="1" applyBorder="1" applyAlignment="1">
      <alignment horizontal="left"/>
    </xf>
    <xf numFmtId="0" fontId="5" fillId="3" borderId="7" xfId="0" applyFont="1" applyFill="1" applyBorder="1" applyAlignment="1">
      <alignment horizontal="left"/>
    </xf>
    <xf numFmtId="0" fontId="5" fillId="3" borderId="8" xfId="0" applyFont="1" applyFill="1" applyBorder="1" applyAlignment="1">
      <alignment horizontal="left"/>
    </xf>
    <xf numFmtId="0" fontId="6" fillId="3" borderId="5" xfId="0" applyFont="1" applyFill="1" applyBorder="1" applyAlignment="1">
      <alignment horizontal="left"/>
    </xf>
    <xf numFmtId="0" fontId="6" fillId="3" borderId="6" xfId="0" applyFont="1" applyFill="1" applyBorder="1" applyAlignment="1">
      <alignment horizontal="left"/>
    </xf>
    <xf numFmtId="0" fontId="6" fillId="3" borderId="30" xfId="0" applyFont="1" applyFill="1" applyBorder="1" applyAlignment="1">
      <alignment horizontal="left"/>
    </xf>
    <xf numFmtId="0" fontId="6" fillId="3" borderId="31" xfId="0" applyFont="1" applyFill="1" applyBorder="1" applyAlignment="1">
      <alignment horizontal="left"/>
    </xf>
    <xf numFmtId="0" fontId="6" fillId="3" borderId="7" xfId="0" applyFont="1" applyFill="1" applyBorder="1" applyAlignment="1">
      <alignment horizontal="left"/>
    </xf>
    <xf numFmtId="0" fontId="6" fillId="3" borderId="8" xfId="0" applyFont="1" applyFill="1" applyBorder="1" applyAlignment="1">
      <alignment horizontal="left"/>
    </xf>
    <xf numFmtId="0" fontId="6" fillId="3" borderId="11" xfId="0" applyFont="1" applyFill="1" applyBorder="1" applyAlignment="1">
      <alignment horizontal="left"/>
    </xf>
    <xf numFmtId="0" fontId="6" fillId="3" borderId="12" xfId="0" applyFont="1" applyFill="1" applyBorder="1" applyAlignment="1">
      <alignment horizontal="left"/>
    </xf>
    <xf numFmtId="0" fontId="5" fillId="2" borderId="32" xfId="0" applyFont="1" applyFill="1" applyBorder="1"/>
    <xf numFmtId="0" fontId="5" fillId="2" borderId="2" xfId="0" applyFont="1" applyFill="1" applyBorder="1"/>
    <xf numFmtId="0" fontId="5" fillId="3" borderId="9" xfId="0" applyFont="1" applyFill="1" applyBorder="1" applyAlignment="1">
      <alignment horizontal="left"/>
    </xf>
    <xf numFmtId="0" fontId="5" fillId="3" borderId="10" xfId="0" applyFont="1" applyFill="1" applyBorder="1" applyAlignment="1">
      <alignment horizontal="left"/>
    </xf>
    <xf numFmtId="0" fontId="5" fillId="0" borderId="13" xfId="0" applyFont="1" applyBorder="1" applyAlignment="1">
      <alignment horizontal="left" wrapText="1"/>
    </xf>
    <xf numFmtId="0" fontId="5" fillId="0" borderId="13" xfId="0" applyFont="1" applyBorder="1"/>
    <xf numFmtId="0" fontId="5" fillId="0" borderId="18" xfId="0" applyFont="1" applyBorder="1"/>
    <xf numFmtId="0" fontId="9" fillId="0" borderId="19" xfId="0" applyFont="1" applyBorder="1"/>
    <xf numFmtId="0" fontId="6" fillId="0" borderId="16" xfId="0" applyFont="1" applyBorder="1"/>
    <xf numFmtId="0" fontId="9" fillId="0" borderId="0" xfId="0" applyFont="1" applyBorder="1"/>
    <xf numFmtId="0" fontId="10" fillId="0" borderId="3" xfId="0" applyFont="1" applyBorder="1"/>
    <xf numFmtId="0" fontId="5" fillId="2" borderId="27" xfId="0" applyFont="1" applyFill="1" applyBorder="1" applyProtection="1">
      <protection locked="0"/>
    </xf>
    <xf numFmtId="0" fontId="7" fillId="2" borderId="23" xfId="0" applyFont="1" applyFill="1" applyBorder="1"/>
    <xf numFmtId="0" fontId="7" fillId="2" borderId="13" xfId="0" applyFont="1" applyFill="1" applyBorder="1"/>
    <xf numFmtId="0" fontId="7" fillId="2" borderId="14" xfId="0" applyFont="1" applyFill="1" applyBorder="1"/>
    <xf numFmtId="0" fontId="7" fillId="2" borderId="18" xfId="0" applyFont="1" applyFill="1" applyBorder="1"/>
    <xf numFmtId="0" fontId="9" fillId="0" borderId="18" xfId="0" applyFont="1" applyBorder="1"/>
    <xf numFmtId="0" fontId="9" fillId="0" borderId="11" xfId="0" applyFont="1" applyBorder="1" applyAlignment="1">
      <alignment horizontal="left"/>
    </xf>
    <xf numFmtId="0" fontId="9" fillId="0" borderId="12" xfId="0" applyFont="1" applyBorder="1" applyAlignment="1">
      <alignment horizontal="left"/>
    </xf>
    <xf numFmtId="0" fontId="9" fillId="0" borderId="0" xfId="0" applyFont="1"/>
    <xf numFmtId="0" fontId="6" fillId="0" borderId="14" xfId="0" applyFont="1" applyFill="1" applyBorder="1"/>
    <xf numFmtId="0" fontId="6" fillId="0" borderId="4" xfId="0" applyFont="1" applyFill="1" applyBorder="1"/>
    <xf numFmtId="0" fontId="6" fillId="0" borderId="7" xfId="0" applyFont="1" applyFill="1" applyBorder="1" applyAlignment="1">
      <alignment horizontal="left"/>
    </xf>
    <xf numFmtId="0" fontId="6" fillId="0" borderId="8" xfId="0" applyFont="1" applyFill="1" applyBorder="1" applyAlignment="1">
      <alignment horizontal="left"/>
    </xf>
    <xf numFmtId="0" fontId="6" fillId="0" borderId="0" xfId="0" applyFont="1" applyFill="1"/>
    <xf numFmtId="0" fontId="8" fillId="0" borderId="0" xfId="0" applyFont="1" applyFill="1" applyBorder="1"/>
    <xf numFmtId="0" fontId="6" fillId="0" borderId="0" xfId="0" applyFont="1" applyFill="1" applyBorder="1"/>
    <xf numFmtId="0" fontId="6" fillId="0" borderId="0" xfId="0" applyFont="1" applyFill="1" applyBorder="1" applyAlignment="1">
      <alignment horizontal="left"/>
    </xf>
    <xf numFmtId="0" fontId="8" fillId="0" borderId="33" xfId="0" applyFont="1" applyFill="1" applyBorder="1"/>
    <xf numFmtId="0" fontId="6" fillId="0" borderId="9" xfId="0" applyFont="1" applyFill="1" applyBorder="1" applyAlignment="1">
      <alignment horizontal="left"/>
    </xf>
    <xf numFmtId="0" fontId="6" fillId="0" borderId="10" xfId="0" applyFont="1" applyFill="1" applyBorder="1" applyAlignment="1">
      <alignment horizontal="left"/>
    </xf>
    <xf numFmtId="0" fontId="11" fillId="0" borderId="3" xfId="0" applyFont="1" applyBorder="1"/>
    <xf numFmtId="0" fontId="6" fillId="0" borderId="13" xfId="0" applyFont="1" applyFill="1" applyBorder="1"/>
    <xf numFmtId="0" fontId="10" fillId="0" borderId="3" xfId="0" applyFont="1" applyFill="1" applyBorder="1"/>
    <xf numFmtId="0" fontId="6" fillId="0" borderId="3" xfId="0" applyFont="1" applyFill="1" applyBorder="1"/>
    <xf numFmtId="0" fontId="5" fillId="2" borderId="4" xfId="0" applyFont="1" applyFill="1" applyBorder="1" applyAlignment="1">
      <alignment horizontal="left"/>
    </xf>
    <xf numFmtId="0" fontId="7" fillId="2" borderId="18" xfId="0" applyFont="1" applyFill="1" applyBorder="1" applyAlignment="1">
      <alignment horizontal="left"/>
    </xf>
    <xf numFmtId="0" fontId="6" fillId="2" borderId="19" xfId="0" applyFont="1" applyFill="1" applyBorder="1"/>
    <xf numFmtId="0" fontId="6" fillId="2" borderId="28" xfId="0" applyFont="1" applyFill="1" applyBorder="1"/>
    <xf numFmtId="0" fontId="6" fillId="2" borderId="34" xfId="0" applyFont="1" applyFill="1" applyBorder="1"/>
    <xf numFmtId="0" fontId="5" fillId="2" borderId="34" xfId="0" applyFont="1" applyFill="1" applyBorder="1"/>
    <xf numFmtId="0" fontId="7" fillId="2" borderId="35" xfId="0" applyFont="1" applyFill="1" applyBorder="1"/>
    <xf numFmtId="0" fontId="5" fillId="2" borderId="35" xfId="0" applyFont="1" applyFill="1" applyBorder="1"/>
    <xf numFmtId="0" fontId="5" fillId="2" borderId="36" xfId="0" applyFont="1" applyFill="1" applyBorder="1"/>
    <xf numFmtId="0" fontId="5" fillId="3" borderId="21" xfId="0" applyFont="1" applyFill="1" applyBorder="1" applyAlignment="1">
      <alignment horizontal="left"/>
    </xf>
    <xf numFmtId="0" fontId="5" fillId="3" borderId="22" xfId="0" applyFont="1" applyFill="1" applyBorder="1" applyAlignment="1">
      <alignment horizontal="left"/>
    </xf>
    <xf numFmtId="0" fontId="6" fillId="3" borderId="21" xfId="0" applyFont="1" applyFill="1" applyBorder="1" applyAlignment="1">
      <alignment horizontal="left"/>
    </xf>
    <xf numFmtId="0" fontId="6" fillId="3" borderId="22" xfId="0" applyFont="1" applyFill="1" applyBorder="1" applyAlignment="1">
      <alignment horizontal="left"/>
    </xf>
    <xf numFmtId="0" fontId="5" fillId="2" borderId="37" xfId="0" applyFont="1" applyFill="1" applyBorder="1"/>
    <xf numFmtId="0" fontId="6" fillId="2" borderId="38" xfId="0" applyFont="1" applyFill="1" applyBorder="1"/>
    <xf numFmtId="0" fontId="6" fillId="2" borderId="35" xfId="0" applyFont="1" applyFill="1" applyBorder="1"/>
    <xf numFmtId="0" fontId="8" fillId="2" borderId="39" xfId="0" applyFont="1" applyFill="1" applyBorder="1"/>
    <xf numFmtId="0" fontId="6" fillId="2" borderId="40" xfId="0" applyFont="1" applyFill="1" applyBorder="1" applyAlignment="1">
      <alignment horizontal="left"/>
    </xf>
    <xf numFmtId="0" fontId="6" fillId="2" borderId="41" xfId="0" applyFont="1" applyFill="1" applyBorder="1" applyAlignment="1">
      <alignment horizontal="left"/>
    </xf>
    <xf numFmtId="0" fontId="7" fillId="2" borderId="37" xfId="0" applyFont="1" applyFill="1" applyBorder="1"/>
    <xf numFmtId="0" fontId="5" fillId="2" borderId="42" xfId="0" applyFont="1" applyFill="1" applyBorder="1"/>
    <xf numFmtId="0" fontId="5" fillId="2" borderId="38" xfId="0" applyFont="1" applyFill="1" applyBorder="1"/>
    <xf numFmtId="0" fontId="5" fillId="2" borderId="14" xfId="0" applyFont="1" applyFill="1" applyBorder="1"/>
    <xf numFmtId="0" fontId="6" fillId="0" borderId="11" xfId="0" applyFont="1" applyFill="1" applyBorder="1" applyAlignment="1">
      <alignment horizontal="left"/>
    </xf>
    <xf numFmtId="0" fontId="6" fillId="0" borderId="12" xfId="0" applyFont="1" applyFill="1" applyBorder="1" applyAlignment="1">
      <alignment horizontal="left"/>
    </xf>
    <xf numFmtId="0" fontId="6" fillId="3" borderId="43" xfId="0" applyFont="1" applyFill="1" applyBorder="1" applyAlignment="1">
      <alignment horizontal="left"/>
    </xf>
    <xf numFmtId="0" fontId="6" fillId="3" borderId="44" xfId="0" applyFont="1" applyFill="1" applyBorder="1" applyAlignment="1">
      <alignment horizontal="left"/>
    </xf>
    <xf numFmtId="8" fontId="3" fillId="3" borderId="46" xfId="0" applyNumberFormat="1" applyFont="1" applyFill="1" applyBorder="1"/>
    <xf numFmtId="8" fontId="3" fillId="3" borderId="49" xfId="0" applyNumberFormat="1" applyFont="1" applyFill="1" applyBorder="1"/>
    <xf numFmtId="8" fontId="3" fillId="3" borderId="51" xfId="0" applyNumberFormat="1" applyFont="1" applyFill="1" applyBorder="1"/>
    <xf numFmtId="8" fontId="12" fillId="0" borderId="53" xfId="0" applyNumberFormat="1" applyFont="1" applyBorder="1"/>
    <xf numFmtId="8" fontId="12" fillId="0" borderId="54" xfId="0" applyNumberFormat="1" applyFont="1" applyBorder="1"/>
    <xf numFmtId="8" fontId="3" fillId="3" borderId="8" xfId="0" applyNumberFormat="1" applyFont="1" applyFill="1" applyBorder="1"/>
    <xf numFmtId="8" fontId="3" fillId="3" borderId="10" xfId="0" applyNumberFormat="1" applyFont="1" applyFill="1" applyBorder="1"/>
    <xf numFmtId="8" fontId="12" fillId="0" borderId="12" xfId="0" applyNumberFormat="1" applyFont="1" applyBorder="1"/>
    <xf numFmtId="8" fontId="3" fillId="3" borderId="9" xfId="0" applyNumberFormat="1" applyFont="1" applyFill="1" applyBorder="1"/>
    <xf numFmtId="8" fontId="4" fillId="3" borderId="9" xfId="0" applyNumberFormat="1" applyFont="1" applyFill="1" applyBorder="1"/>
    <xf numFmtId="8" fontId="4" fillId="3" borderId="51" xfId="0" applyNumberFormat="1" applyFont="1" applyFill="1" applyBorder="1"/>
    <xf numFmtId="8" fontId="4" fillId="3" borderId="10" xfId="0" applyNumberFormat="1" applyFont="1" applyFill="1" applyBorder="1"/>
    <xf numFmtId="8" fontId="3" fillId="3" borderId="7" xfId="0" applyNumberFormat="1" applyFont="1" applyFill="1" applyBorder="1"/>
    <xf numFmtId="8" fontId="4" fillId="3" borderId="21" xfId="0" applyNumberFormat="1" applyFont="1" applyFill="1" applyBorder="1"/>
    <xf numFmtId="8" fontId="4" fillId="3" borderId="58" xfId="0" applyNumberFormat="1" applyFont="1" applyFill="1" applyBorder="1"/>
    <xf numFmtId="8" fontId="4" fillId="3" borderId="22" xfId="0" applyNumberFormat="1" applyFont="1" applyFill="1" applyBorder="1"/>
    <xf numFmtId="0" fontId="0" fillId="0" borderId="17" xfId="0" applyBorder="1" applyAlignment="1">
      <alignment horizontal="center" vertical="center"/>
    </xf>
    <xf numFmtId="8" fontId="3" fillId="3" borderId="30" xfId="0" applyNumberFormat="1" applyFont="1" applyFill="1" applyBorder="1"/>
    <xf numFmtId="8" fontId="3" fillId="3" borderId="31" xfId="0" applyNumberFormat="1" applyFont="1" applyFill="1" applyBorder="1"/>
    <xf numFmtId="0" fontId="6" fillId="3" borderId="62" xfId="0" applyFont="1" applyFill="1" applyBorder="1" applyAlignment="1">
      <alignment horizontal="left"/>
    </xf>
    <xf numFmtId="0" fontId="6" fillId="3" borderId="63" xfId="0" applyFont="1" applyFill="1" applyBorder="1" applyAlignment="1">
      <alignment horizontal="left"/>
    </xf>
    <xf numFmtId="0" fontId="6" fillId="0" borderId="63" xfId="0" applyFont="1" applyBorder="1" applyAlignment="1">
      <alignment horizontal="left"/>
    </xf>
    <xf numFmtId="0" fontId="6" fillId="3" borderId="64" xfId="0" applyFont="1" applyFill="1" applyBorder="1" applyAlignment="1">
      <alignment horizontal="left"/>
    </xf>
    <xf numFmtId="0" fontId="9" fillId="0" borderId="64" xfId="0" applyFont="1" applyBorder="1" applyAlignment="1">
      <alignment horizontal="left"/>
    </xf>
    <xf numFmtId="0" fontId="6" fillId="0" borderId="64" xfId="0" applyFont="1" applyBorder="1" applyAlignment="1">
      <alignment horizontal="left"/>
    </xf>
    <xf numFmtId="0" fontId="6" fillId="2" borderId="65" xfId="0" applyFont="1" applyFill="1" applyBorder="1" applyAlignment="1">
      <alignment horizontal="left"/>
    </xf>
    <xf numFmtId="0" fontId="6" fillId="0" borderId="62" xfId="0" applyFont="1" applyFill="1" applyBorder="1" applyAlignment="1">
      <alignment horizontal="left"/>
    </xf>
    <xf numFmtId="0" fontId="6" fillId="0" borderId="64" xfId="0" applyFont="1" applyFill="1" applyBorder="1" applyAlignment="1">
      <alignment horizontal="left"/>
    </xf>
    <xf numFmtId="0" fontId="6" fillId="2" borderId="66" xfId="0" applyFont="1" applyFill="1" applyBorder="1" applyAlignment="1">
      <alignment horizontal="left"/>
    </xf>
    <xf numFmtId="0" fontId="6" fillId="0" borderId="67" xfId="0" applyFont="1" applyBorder="1" applyAlignment="1">
      <alignment horizontal="left"/>
    </xf>
    <xf numFmtId="0" fontId="5" fillId="3" borderId="64" xfId="0" applyFont="1" applyFill="1" applyBorder="1" applyAlignment="1">
      <alignment horizontal="left"/>
    </xf>
    <xf numFmtId="0" fontId="5" fillId="3" borderId="62" xfId="0" applyFont="1" applyFill="1" applyBorder="1" applyAlignment="1">
      <alignment horizontal="left"/>
    </xf>
    <xf numFmtId="0" fontId="5" fillId="3" borderId="63" xfId="0" applyFont="1" applyFill="1" applyBorder="1" applyAlignment="1">
      <alignment horizontal="left"/>
    </xf>
    <xf numFmtId="0" fontId="6" fillId="0" borderId="62" xfId="0" applyFont="1" applyBorder="1" applyAlignment="1">
      <alignment horizontal="left"/>
    </xf>
    <xf numFmtId="0" fontId="6" fillId="3" borderId="67" xfId="0" applyFont="1" applyFill="1" applyBorder="1" applyAlignment="1">
      <alignment horizontal="left"/>
    </xf>
    <xf numFmtId="0" fontId="6" fillId="0" borderId="63" xfId="0" applyFont="1" applyFill="1" applyBorder="1" applyAlignment="1">
      <alignment horizontal="left"/>
    </xf>
    <xf numFmtId="0" fontId="6" fillId="3" borderId="66" xfId="0" applyFont="1" applyFill="1" applyBorder="1" applyAlignment="1">
      <alignment horizontal="left"/>
    </xf>
    <xf numFmtId="0" fontId="6" fillId="3" borderId="68" xfId="0" applyFont="1" applyFill="1" applyBorder="1" applyAlignment="1">
      <alignment horizontal="left"/>
    </xf>
    <xf numFmtId="0" fontId="6" fillId="2" borderId="69" xfId="0" applyFont="1" applyFill="1" applyBorder="1" applyAlignment="1">
      <alignment horizontal="left"/>
    </xf>
    <xf numFmtId="0" fontId="5" fillId="3" borderId="66" xfId="0" applyFont="1" applyFill="1" applyBorder="1" applyAlignment="1">
      <alignment horizontal="left"/>
    </xf>
    <xf numFmtId="0" fontId="6" fillId="0" borderId="37" xfId="0" applyFont="1" applyBorder="1"/>
    <xf numFmtId="0" fontId="6" fillId="0" borderId="37" xfId="0" applyFont="1" applyBorder="1" applyAlignment="1">
      <alignment horizontal="left"/>
    </xf>
    <xf numFmtId="0" fontId="6" fillId="0" borderId="0" xfId="0" applyFont="1" applyBorder="1" applyAlignment="1">
      <alignment horizontal="left"/>
    </xf>
    <xf numFmtId="0" fontId="7" fillId="0" borderId="70" xfId="0" applyFont="1" applyFill="1" applyBorder="1" applyAlignment="1">
      <alignment horizontal="center"/>
    </xf>
    <xf numFmtId="0" fontId="7" fillId="0" borderId="17" xfId="0" applyFont="1" applyBorder="1" applyAlignment="1">
      <alignment horizontal="center" vertical="center" wrapText="1"/>
    </xf>
    <xf numFmtId="0" fontId="7" fillId="0" borderId="71" xfId="0" applyFont="1" applyFill="1" applyBorder="1" applyAlignment="1">
      <alignment horizontal="center"/>
    </xf>
    <xf numFmtId="0" fontId="0" fillId="0" borderId="72" xfId="0" applyBorder="1" applyAlignment="1">
      <alignment horizontal="center" vertical="center"/>
    </xf>
    <xf numFmtId="0" fontId="7" fillId="0" borderId="72" xfId="0" applyFont="1" applyBorder="1" applyAlignment="1">
      <alignment horizontal="center" vertical="center" wrapText="1"/>
    </xf>
    <xf numFmtId="8" fontId="6" fillId="2" borderId="7" xfId="0" applyNumberFormat="1" applyFont="1" applyFill="1" applyBorder="1" applyAlignment="1">
      <alignment horizontal="right"/>
    </xf>
    <xf numFmtId="0" fontId="6" fillId="2" borderId="4" xfId="0" applyFont="1" applyFill="1" applyBorder="1" applyAlignment="1">
      <alignment horizontal="left"/>
    </xf>
    <xf numFmtId="0" fontId="6" fillId="2" borderId="8" xfId="0" applyFont="1" applyFill="1" applyBorder="1" applyAlignment="1">
      <alignment horizontal="left"/>
    </xf>
    <xf numFmtId="8" fontId="6" fillId="0" borderId="9" xfId="0" applyNumberFormat="1" applyFont="1" applyBorder="1" applyAlignment="1">
      <alignment horizontal="right"/>
    </xf>
    <xf numFmtId="0" fontId="6" fillId="0" borderId="3" xfId="0" applyFont="1" applyBorder="1" applyAlignment="1">
      <alignment horizontal="left"/>
    </xf>
    <xf numFmtId="8" fontId="6" fillId="2" borderId="9" xfId="0" applyNumberFormat="1" applyFont="1" applyFill="1" applyBorder="1" applyAlignment="1">
      <alignment horizontal="right"/>
    </xf>
    <xf numFmtId="0" fontId="6" fillId="2" borderId="3" xfId="0" applyFont="1" applyFill="1" applyBorder="1" applyAlignment="1">
      <alignment horizontal="left"/>
    </xf>
    <xf numFmtId="0" fontId="6" fillId="2" borderId="10" xfId="0" applyFont="1" applyFill="1" applyBorder="1" applyAlignment="1">
      <alignment horizontal="left"/>
    </xf>
    <xf numFmtId="0" fontId="5" fillId="0" borderId="13" xfId="0" applyFont="1" applyFill="1" applyBorder="1"/>
    <xf numFmtId="8" fontId="6" fillId="0" borderId="9" xfId="0" applyNumberFormat="1" applyFont="1" applyFill="1" applyBorder="1" applyAlignment="1">
      <alignment horizontal="right"/>
    </xf>
    <xf numFmtId="0" fontId="6" fillId="0" borderId="3" xfId="0" applyFont="1" applyFill="1" applyBorder="1" applyAlignment="1">
      <alignment horizontal="left"/>
    </xf>
    <xf numFmtId="0" fontId="0" fillId="0" borderId="0" xfId="0" applyFill="1"/>
    <xf numFmtId="0" fontId="3" fillId="2" borderId="3" xfId="0" applyFont="1" applyFill="1" applyBorder="1"/>
    <xf numFmtId="0" fontId="6" fillId="2" borderId="18" xfId="0" applyFont="1" applyFill="1" applyBorder="1"/>
    <xf numFmtId="8" fontId="6" fillId="2" borderId="11" xfId="0" applyNumberFormat="1" applyFont="1" applyFill="1" applyBorder="1" applyAlignment="1">
      <alignment horizontal="right"/>
    </xf>
    <xf numFmtId="0" fontId="6" fillId="2" borderId="19" xfId="0" applyFont="1" applyFill="1" applyBorder="1" applyAlignment="1">
      <alignment horizontal="left"/>
    </xf>
    <xf numFmtId="0" fontId="6" fillId="2" borderId="12" xfId="0" applyFont="1" applyFill="1" applyBorder="1" applyAlignment="1">
      <alignment horizontal="left"/>
    </xf>
    <xf numFmtId="8" fontId="6" fillId="0" borderId="11" xfId="0" applyNumberFormat="1" applyFont="1" applyBorder="1" applyAlignment="1">
      <alignment horizontal="right"/>
    </xf>
    <xf numFmtId="0" fontId="6" fillId="0" borderId="19" xfId="0" applyFont="1" applyBorder="1" applyAlignment="1">
      <alignment horizontal="left"/>
    </xf>
    <xf numFmtId="0" fontId="6" fillId="2" borderId="73" xfId="0" applyFont="1" applyFill="1" applyBorder="1"/>
    <xf numFmtId="0" fontId="5" fillId="2" borderId="74" xfId="0" applyFont="1" applyFill="1" applyBorder="1"/>
    <xf numFmtId="0" fontId="6" fillId="2" borderId="74" xfId="0" applyFont="1" applyFill="1" applyBorder="1"/>
    <xf numFmtId="8" fontId="6" fillId="2" borderId="75" xfId="0" applyNumberFormat="1" applyFont="1" applyFill="1" applyBorder="1" applyAlignment="1">
      <alignment horizontal="right"/>
    </xf>
    <xf numFmtId="0" fontId="6" fillId="2" borderId="74" xfId="0" applyFont="1" applyFill="1" applyBorder="1" applyAlignment="1">
      <alignment horizontal="left"/>
    </xf>
    <xf numFmtId="0" fontId="6" fillId="2" borderId="76" xfId="0" applyFont="1" applyFill="1" applyBorder="1" applyAlignment="1">
      <alignment horizontal="left"/>
    </xf>
    <xf numFmtId="0" fontId="8" fillId="0" borderId="13" xfId="0" applyFont="1" applyFill="1" applyBorder="1" applyAlignment="1">
      <alignment horizontal="center"/>
    </xf>
    <xf numFmtId="0" fontId="8" fillId="2" borderId="13" xfId="0" applyFont="1" applyFill="1" applyBorder="1" applyAlignment="1">
      <alignment horizontal="center"/>
    </xf>
    <xf numFmtId="0" fontId="8" fillId="0" borderId="18" xfId="0" applyFont="1" applyFill="1" applyBorder="1" applyAlignment="1">
      <alignment horizontal="center"/>
    </xf>
    <xf numFmtId="0" fontId="8" fillId="0" borderId="73" xfId="0" applyFont="1" applyFill="1" applyBorder="1" applyAlignment="1">
      <alignment horizontal="center"/>
    </xf>
    <xf numFmtId="0" fontId="9" fillId="0" borderId="18" xfId="0" applyFont="1" applyFill="1" applyBorder="1" applyAlignment="1">
      <alignment horizontal="center"/>
    </xf>
    <xf numFmtId="0" fontId="8" fillId="2" borderId="23" xfId="0" applyFont="1" applyFill="1" applyBorder="1" applyAlignment="1">
      <alignment horizont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8" fillId="0" borderId="14" xfId="0" applyFont="1" applyFill="1" applyBorder="1" applyAlignment="1">
      <alignment horizontal="center"/>
    </xf>
    <xf numFmtId="0" fontId="8" fillId="2" borderId="20" xfId="0" applyFont="1" applyFill="1" applyBorder="1" applyAlignment="1">
      <alignment horizontal="center"/>
    </xf>
    <xf numFmtId="0" fontId="8" fillId="0" borderId="0" xfId="0" applyFont="1" applyFill="1" applyAlignment="1">
      <alignment horizontal="center"/>
    </xf>
    <xf numFmtId="0" fontId="8" fillId="0" borderId="77" xfId="0" applyFont="1" applyFill="1" applyBorder="1" applyAlignment="1">
      <alignment horizontal="center"/>
    </xf>
    <xf numFmtId="0" fontId="8" fillId="0" borderId="78" xfId="0" applyFont="1" applyFill="1" applyBorder="1" applyAlignment="1">
      <alignment horizontal="center"/>
    </xf>
    <xf numFmtId="0" fontId="7" fillId="0" borderId="77" xfId="0" applyFont="1" applyFill="1" applyBorder="1" applyAlignment="1">
      <alignment horizontal="center"/>
    </xf>
    <xf numFmtId="0" fontId="8" fillId="0" borderId="27" xfId="0" applyFont="1" applyFill="1" applyBorder="1" applyAlignment="1">
      <alignment horizontal="center"/>
    </xf>
    <xf numFmtId="0" fontId="8" fillId="2" borderId="79" xfId="0" applyFont="1" applyFill="1" applyBorder="1" applyAlignment="1">
      <alignment horizontal="center"/>
    </xf>
    <xf numFmtId="0" fontId="7" fillId="0" borderId="78" xfId="0" applyFont="1" applyFill="1" applyBorder="1" applyAlignment="1">
      <alignment horizontal="center"/>
    </xf>
    <xf numFmtId="0" fontId="7" fillId="0" borderId="80" xfId="0" applyFont="1" applyFill="1" applyBorder="1" applyAlignment="1">
      <alignment horizontal="center"/>
    </xf>
    <xf numFmtId="0" fontId="8" fillId="2" borderId="32" xfId="0" applyFont="1" applyFill="1" applyBorder="1" applyAlignment="1">
      <alignment horizontal="center"/>
    </xf>
    <xf numFmtId="0" fontId="8" fillId="0" borderId="80" xfId="0" applyFont="1" applyFill="1" applyBorder="1" applyAlignment="1">
      <alignment horizontal="center"/>
    </xf>
    <xf numFmtId="0" fontId="6" fillId="2" borderId="32" xfId="0" applyFont="1" applyFill="1" applyBorder="1" applyAlignment="1">
      <alignment horizontal="center"/>
    </xf>
    <xf numFmtId="0" fontId="6" fillId="2" borderId="34" xfId="0" applyFont="1" applyFill="1" applyBorder="1" applyAlignment="1">
      <alignment horizontal="center"/>
    </xf>
    <xf numFmtId="0" fontId="8" fillId="2" borderId="39" xfId="0" applyFont="1" applyFill="1" applyBorder="1" applyAlignment="1">
      <alignment horizontal="center"/>
    </xf>
    <xf numFmtId="0" fontId="8" fillId="0" borderId="33" xfId="0" applyFont="1" applyFill="1" applyBorder="1" applyAlignment="1">
      <alignment horizontal="center"/>
    </xf>
    <xf numFmtId="0" fontId="5" fillId="2" borderId="32" xfId="0" applyFont="1" applyFill="1" applyBorder="1" applyAlignment="1">
      <alignment horizontal="left"/>
    </xf>
    <xf numFmtId="0" fontId="6" fillId="0" borderId="0" xfId="0" applyFont="1" applyAlignment="1">
      <alignment horizontal="right"/>
    </xf>
    <xf numFmtId="8" fontId="3" fillId="0" borderId="0" xfId="0" applyNumberFormat="1" applyFont="1" applyFill="1" applyBorder="1"/>
    <xf numFmtId="0" fontId="8" fillId="0" borderId="0" xfId="0"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xf numFmtId="0" fontId="9" fillId="0" borderId="0" xfId="0" applyFont="1" applyFill="1" applyBorder="1"/>
    <xf numFmtId="8" fontId="12" fillId="0" borderId="0" xfId="0" applyNumberFormat="1" applyFont="1" applyFill="1" applyBorder="1"/>
    <xf numFmtId="0" fontId="3" fillId="0" borderId="0" xfId="0" applyFont="1" applyFill="1" applyBorder="1"/>
    <xf numFmtId="8" fontId="4" fillId="0" borderId="0" xfId="0" applyNumberFormat="1" applyFont="1" applyFill="1" applyBorder="1"/>
    <xf numFmtId="0" fontId="6" fillId="3" borderId="81" xfId="0" applyFont="1" applyFill="1" applyBorder="1" applyAlignment="1">
      <alignment horizontal="left"/>
    </xf>
    <xf numFmtId="0" fontId="5" fillId="0" borderId="0" xfId="0" applyFont="1" applyFill="1" applyAlignment="1"/>
    <xf numFmtId="0" fontId="8" fillId="2" borderId="82" xfId="0" applyFont="1" applyFill="1" applyBorder="1" applyAlignment="1">
      <alignment horizontal="center"/>
    </xf>
    <xf numFmtId="0" fontId="6" fillId="2" borderId="82" xfId="0" applyFont="1" applyFill="1" applyBorder="1"/>
    <xf numFmtId="0" fontId="6" fillId="2" borderId="83" xfId="0" applyFont="1" applyFill="1" applyBorder="1"/>
    <xf numFmtId="0" fontId="6" fillId="2" borderId="84" xfId="0" applyFont="1" applyFill="1" applyBorder="1" applyAlignment="1">
      <alignment horizontal="left"/>
    </xf>
    <xf numFmtId="0" fontId="6" fillId="2" borderId="85" xfId="0" applyFont="1" applyFill="1" applyBorder="1" applyAlignment="1">
      <alignment horizontal="left"/>
    </xf>
    <xf numFmtId="0" fontId="8" fillId="2" borderId="86" xfId="0" applyFont="1" applyFill="1" applyBorder="1" applyAlignment="1">
      <alignment horizontal="center"/>
    </xf>
    <xf numFmtId="0" fontId="6" fillId="2" borderId="86" xfId="0" applyFont="1" applyFill="1" applyBorder="1"/>
    <xf numFmtId="0" fontId="6" fillId="2" borderId="87" xfId="0" applyFont="1" applyFill="1" applyBorder="1"/>
    <xf numFmtId="0" fontId="6" fillId="3" borderId="88" xfId="0" applyFont="1" applyFill="1" applyBorder="1" applyAlignment="1">
      <alignment horizontal="left"/>
    </xf>
    <xf numFmtId="0" fontId="6" fillId="3" borderId="89" xfId="0" applyFont="1" applyFill="1" applyBorder="1" applyAlignment="1">
      <alignment horizontal="left"/>
    </xf>
    <xf numFmtId="0" fontId="8" fillId="2" borderId="71" xfId="0" applyFont="1" applyFill="1" applyBorder="1" applyAlignment="1">
      <alignment horizontal="center"/>
    </xf>
    <xf numFmtId="0" fontId="5" fillId="2" borderId="90" xfId="0" applyFont="1" applyFill="1" applyBorder="1"/>
    <xf numFmtId="0" fontId="7" fillId="2" borderId="72" xfId="0" applyFont="1" applyFill="1" applyBorder="1"/>
    <xf numFmtId="0" fontId="5" fillId="2" borderId="72" xfId="0" applyFont="1" applyFill="1" applyBorder="1"/>
    <xf numFmtId="0" fontId="6" fillId="2" borderId="91" xfId="0" applyFont="1" applyFill="1" applyBorder="1" applyAlignment="1">
      <alignment horizontal="left"/>
    </xf>
    <xf numFmtId="0" fontId="6" fillId="2" borderId="92" xfId="0" applyFont="1" applyFill="1" applyBorder="1" applyAlignment="1">
      <alignment horizontal="left"/>
    </xf>
    <xf numFmtId="42" fontId="5" fillId="0" borderId="0" xfId="0" applyNumberFormat="1" applyFont="1" applyAlignment="1">
      <alignment horizontal="right"/>
    </xf>
    <xf numFmtId="42" fontId="6" fillId="0" borderId="0" xfId="0" applyNumberFormat="1" applyFont="1" applyFill="1" applyBorder="1" applyAlignment="1">
      <alignment horizontal="right"/>
    </xf>
    <xf numFmtId="42" fontId="6" fillId="0" borderId="0" xfId="0" applyNumberFormat="1" applyFont="1" applyAlignment="1">
      <alignment horizontal="right"/>
    </xf>
    <xf numFmtId="0" fontId="6" fillId="3" borderId="80" xfId="0" applyFont="1" applyFill="1" applyBorder="1" applyAlignment="1">
      <alignment horizontal="left"/>
    </xf>
    <xf numFmtId="0" fontId="6" fillId="3" borderId="27" xfId="0" applyFont="1" applyFill="1" applyBorder="1" applyAlignment="1">
      <alignment horizontal="left"/>
    </xf>
    <xf numFmtId="0" fontId="6" fillId="0" borderId="27" xfId="0" applyFont="1" applyBorder="1" applyAlignment="1">
      <alignment horizontal="left"/>
    </xf>
    <xf numFmtId="0" fontId="6" fillId="0" borderId="78" xfId="0" applyFont="1" applyBorder="1" applyAlignment="1">
      <alignment horizontal="left"/>
    </xf>
    <xf numFmtId="0" fontId="9" fillId="0" borderId="78" xfId="0" applyFont="1" applyBorder="1" applyAlignment="1">
      <alignment horizontal="left"/>
    </xf>
    <xf numFmtId="0" fontId="6" fillId="2" borderId="79" xfId="0" applyFont="1" applyFill="1" applyBorder="1" applyAlignment="1">
      <alignment horizontal="left"/>
    </xf>
    <xf numFmtId="49" fontId="9" fillId="0" borderId="78" xfId="0" applyNumberFormat="1" applyFont="1" applyBorder="1" applyAlignment="1">
      <alignment horizontal="left"/>
    </xf>
    <xf numFmtId="49" fontId="7" fillId="0" borderId="0" xfId="0" applyNumberFormat="1" applyFont="1" applyAlignment="1">
      <alignment horizontal="centerContinuous"/>
    </xf>
    <xf numFmtId="49" fontId="8" fillId="3" borderId="70" xfId="0" applyNumberFormat="1" applyFont="1" applyFill="1" applyBorder="1" applyAlignment="1">
      <alignment horizontal="left"/>
    </xf>
    <xf numFmtId="49" fontId="8" fillId="3" borderId="80" xfId="0" applyNumberFormat="1" applyFont="1" applyFill="1" applyBorder="1" applyAlignment="1">
      <alignment horizontal="left"/>
    </xf>
    <xf numFmtId="49" fontId="8" fillId="3" borderId="27" xfId="0" applyNumberFormat="1" applyFont="1" applyFill="1" applyBorder="1" applyAlignment="1">
      <alignment horizontal="left"/>
    </xf>
    <xf numFmtId="49" fontId="8" fillId="0" borderId="27" xfId="0" applyNumberFormat="1" applyFont="1" applyBorder="1" applyAlignment="1">
      <alignment horizontal="left"/>
    </xf>
    <xf numFmtId="49" fontId="8" fillId="0" borderId="78" xfId="0" applyNumberFormat="1" applyFont="1" applyBorder="1" applyAlignment="1">
      <alignment horizontal="left"/>
    </xf>
    <xf numFmtId="49" fontId="8" fillId="2" borderId="79" xfId="0" applyNumberFormat="1" applyFont="1" applyFill="1" applyBorder="1" applyAlignment="1">
      <alignment horizontal="left"/>
    </xf>
    <xf numFmtId="49" fontId="8" fillId="2" borderId="93" xfId="0" applyNumberFormat="1" applyFont="1" applyFill="1" applyBorder="1" applyAlignment="1">
      <alignment horizontal="left"/>
    </xf>
    <xf numFmtId="49" fontId="8" fillId="0" borderId="0" xfId="0" applyNumberFormat="1" applyFont="1" applyFill="1" applyBorder="1"/>
    <xf numFmtId="49" fontId="8" fillId="0" borderId="0" xfId="0" applyNumberFormat="1" applyFont="1"/>
    <xf numFmtId="0" fontId="6" fillId="0" borderId="77" xfId="0" applyFont="1" applyBorder="1" applyAlignment="1">
      <alignment horizontal="left"/>
    </xf>
    <xf numFmtId="0" fontId="5" fillId="3" borderId="78" xfId="0" applyFont="1" applyFill="1" applyBorder="1" applyAlignment="1">
      <alignment horizontal="left"/>
    </xf>
    <xf numFmtId="0" fontId="5" fillId="3" borderId="80" xfId="0" applyFont="1" applyFill="1" applyBorder="1" applyAlignment="1">
      <alignment horizontal="left"/>
    </xf>
    <xf numFmtId="0" fontId="5" fillId="3" borderId="27" xfId="0" applyFont="1" applyFill="1" applyBorder="1" applyAlignment="1">
      <alignment horizontal="left"/>
    </xf>
    <xf numFmtId="0" fontId="6" fillId="2" borderId="32" xfId="0" applyFont="1" applyFill="1" applyBorder="1" applyAlignment="1">
      <alignment horizontal="left"/>
    </xf>
    <xf numFmtId="0" fontId="6" fillId="0" borderId="80" xfId="0" applyFont="1" applyBorder="1" applyAlignment="1">
      <alignment horizontal="left"/>
    </xf>
    <xf numFmtId="0" fontId="6" fillId="3" borderId="77" xfId="0" applyFont="1" applyFill="1" applyBorder="1" applyAlignment="1">
      <alignment horizontal="left"/>
    </xf>
    <xf numFmtId="0" fontId="6" fillId="0" borderId="27" xfId="0" applyFont="1" applyFill="1" applyBorder="1" applyAlignment="1">
      <alignment horizontal="left"/>
    </xf>
    <xf numFmtId="0" fontId="6" fillId="0" borderId="80" xfId="0" applyFont="1" applyFill="1" applyBorder="1" applyAlignment="1">
      <alignment horizontal="left"/>
    </xf>
    <xf numFmtId="0" fontId="6" fillId="3" borderId="32" xfId="0" applyFont="1" applyFill="1" applyBorder="1" applyAlignment="1">
      <alignment horizontal="left"/>
    </xf>
    <xf numFmtId="0" fontId="6" fillId="3" borderId="34" xfId="0" applyFont="1" applyFill="1" applyBorder="1" applyAlignment="1">
      <alignment horizontal="left"/>
    </xf>
    <xf numFmtId="0" fontId="6" fillId="2" borderId="39" xfId="0" applyFont="1" applyFill="1" applyBorder="1" applyAlignment="1">
      <alignment horizontal="left"/>
    </xf>
    <xf numFmtId="0" fontId="5" fillId="3" borderId="32" xfId="0" applyFont="1" applyFill="1" applyBorder="1" applyAlignment="1">
      <alignment horizontal="left"/>
    </xf>
    <xf numFmtId="0" fontId="6" fillId="2" borderId="71" xfId="0" applyFont="1" applyFill="1" applyBorder="1" applyAlignment="1">
      <alignment horizontal="left"/>
    </xf>
    <xf numFmtId="0" fontId="6" fillId="3" borderId="94" xfId="0" applyFont="1" applyFill="1" applyBorder="1" applyAlignment="1">
      <alignment horizontal="left"/>
    </xf>
    <xf numFmtId="0" fontId="6" fillId="3" borderId="78" xfId="0" applyFont="1" applyFill="1" applyBorder="1" applyAlignment="1">
      <alignment horizontal="left"/>
    </xf>
    <xf numFmtId="0" fontId="6" fillId="0" borderId="78" xfId="0" applyFont="1" applyFill="1" applyBorder="1" applyAlignment="1">
      <alignment horizontal="left"/>
    </xf>
    <xf numFmtId="164" fontId="6" fillId="3" borderId="70" xfId="0" applyNumberFormat="1" applyFont="1" applyFill="1" applyBorder="1" applyAlignment="1">
      <alignment horizontal="left"/>
    </xf>
    <xf numFmtId="164" fontId="6" fillId="3" borderId="80" xfId="0" applyNumberFormat="1" applyFont="1" applyFill="1" applyBorder="1" applyAlignment="1">
      <alignment horizontal="left"/>
    </xf>
    <xf numFmtId="164" fontId="6" fillId="3" borderId="27" xfId="0" applyNumberFormat="1" applyFont="1" applyFill="1" applyBorder="1" applyAlignment="1">
      <alignment horizontal="left"/>
    </xf>
    <xf numFmtId="164" fontId="6" fillId="0" borderId="27" xfId="0" applyNumberFormat="1" applyFont="1" applyBorder="1" applyAlignment="1">
      <alignment horizontal="left"/>
    </xf>
    <xf numFmtId="164" fontId="6" fillId="0" borderId="78" xfId="0" applyNumberFormat="1" applyFont="1" applyBorder="1" applyAlignment="1">
      <alignment horizontal="left"/>
    </xf>
    <xf numFmtId="164" fontId="9" fillId="0" borderId="78" xfId="0" applyNumberFormat="1" applyFont="1" applyBorder="1" applyAlignment="1">
      <alignment horizontal="left"/>
    </xf>
    <xf numFmtId="164" fontId="6" fillId="2" borderId="79" xfId="0" applyNumberFormat="1" applyFont="1" applyFill="1" applyBorder="1" applyAlignment="1">
      <alignment horizontal="left"/>
    </xf>
    <xf numFmtId="164" fontId="6" fillId="2" borderId="93" xfId="0" applyNumberFormat="1" applyFont="1" applyFill="1" applyBorder="1" applyAlignment="1">
      <alignment horizontal="left"/>
    </xf>
    <xf numFmtId="164" fontId="6" fillId="3" borderId="94" xfId="0" applyNumberFormat="1" applyFont="1" applyFill="1" applyBorder="1" applyAlignment="1">
      <alignment horizontal="left"/>
    </xf>
    <xf numFmtId="164" fontId="6" fillId="3" borderId="78" xfId="0" applyNumberFormat="1" applyFont="1" applyFill="1" applyBorder="1" applyAlignment="1">
      <alignment horizontal="left"/>
    </xf>
    <xf numFmtId="164" fontId="6" fillId="0" borderId="80" xfId="0" applyNumberFormat="1" applyFont="1" applyFill="1" applyBorder="1" applyAlignment="1">
      <alignment horizontal="left"/>
    </xf>
    <xf numFmtId="164" fontId="6" fillId="0" borderId="78" xfId="0" applyNumberFormat="1" applyFont="1" applyFill="1" applyBorder="1" applyAlignment="1">
      <alignment horizontal="left"/>
    </xf>
    <xf numFmtId="164" fontId="6" fillId="2" borderId="32" xfId="0" applyNumberFormat="1" applyFont="1" applyFill="1" applyBorder="1" applyAlignment="1">
      <alignment horizontal="left"/>
    </xf>
    <xf numFmtId="164" fontId="6" fillId="0" borderId="37" xfId="0" applyNumberFormat="1" applyFont="1" applyBorder="1" applyAlignment="1">
      <alignment horizontal="left"/>
    </xf>
    <xf numFmtId="164" fontId="6" fillId="0" borderId="0" xfId="0" applyNumberFormat="1" applyFont="1" applyBorder="1" applyAlignment="1">
      <alignment horizontal="left"/>
    </xf>
    <xf numFmtId="164" fontId="6" fillId="0" borderId="77" xfId="0" applyNumberFormat="1" applyFont="1" applyBorder="1" applyAlignment="1">
      <alignment horizontal="left"/>
    </xf>
    <xf numFmtId="164" fontId="5" fillId="3" borderId="78" xfId="0" applyNumberFormat="1" applyFont="1" applyFill="1" applyBorder="1" applyAlignment="1">
      <alignment horizontal="left"/>
    </xf>
    <xf numFmtId="164" fontId="5" fillId="3" borderId="80" xfId="0" applyNumberFormat="1" applyFont="1" applyFill="1" applyBorder="1" applyAlignment="1">
      <alignment horizontal="left"/>
    </xf>
    <xf numFmtId="164" fontId="5" fillId="3" borderId="27" xfId="0" applyNumberFormat="1" applyFont="1" applyFill="1" applyBorder="1" applyAlignment="1">
      <alignment horizontal="left"/>
    </xf>
    <xf numFmtId="164" fontId="6" fillId="0" borderId="80" xfId="0" applyNumberFormat="1" applyFont="1" applyBorder="1" applyAlignment="1">
      <alignment horizontal="left"/>
    </xf>
    <xf numFmtId="164" fontId="6" fillId="3" borderId="77" xfId="0" applyNumberFormat="1" applyFont="1" applyFill="1" applyBorder="1" applyAlignment="1">
      <alignment horizontal="left"/>
    </xf>
    <xf numFmtId="164" fontId="6" fillId="0" borderId="27" xfId="0" applyNumberFormat="1" applyFont="1" applyFill="1" applyBorder="1" applyAlignment="1">
      <alignment horizontal="left"/>
    </xf>
    <xf numFmtId="164" fontId="6" fillId="3" borderId="32" xfId="0" applyNumberFormat="1" applyFont="1" applyFill="1" applyBorder="1" applyAlignment="1">
      <alignment horizontal="left"/>
    </xf>
    <xf numFmtId="164" fontId="6" fillId="3" borderId="34" xfId="0" applyNumberFormat="1" applyFont="1" applyFill="1" applyBorder="1" applyAlignment="1">
      <alignment horizontal="left"/>
    </xf>
    <xf numFmtId="164" fontId="6" fillId="2" borderId="39" xfId="0" applyNumberFormat="1" applyFont="1" applyFill="1" applyBorder="1" applyAlignment="1">
      <alignment horizontal="left"/>
    </xf>
    <xf numFmtId="164" fontId="5" fillId="3" borderId="32" xfId="0" applyNumberFormat="1" applyFont="1" applyFill="1" applyBorder="1" applyAlignment="1">
      <alignment horizontal="left"/>
    </xf>
    <xf numFmtId="164" fontId="6" fillId="2" borderId="71" xfId="0" applyNumberFormat="1" applyFont="1" applyFill="1" applyBorder="1" applyAlignment="1">
      <alignment horizontal="left"/>
    </xf>
    <xf numFmtId="164" fontId="6" fillId="0" borderId="0" xfId="0" applyNumberFormat="1" applyFont="1" applyAlignment="1">
      <alignment horizontal="right"/>
    </xf>
    <xf numFmtId="0" fontId="3" fillId="2" borderId="32" xfId="0" applyFont="1" applyFill="1" applyBorder="1" applyAlignment="1">
      <alignment horizontal="center"/>
    </xf>
    <xf numFmtId="0" fontId="0" fillId="4" borderId="0" xfId="0" applyFill="1"/>
    <xf numFmtId="0" fontId="5" fillId="0" borderId="0" xfId="0" applyFont="1" applyFill="1" applyAlignment="1">
      <alignment horizontal="center"/>
    </xf>
    <xf numFmtId="0" fontId="0" fillId="5" borderId="95" xfId="0" applyFill="1" applyBorder="1"/>
    <xf numFmtId="0" fontId="21" fillId="5" borderId="0" xfId="2" applyFont="1" applyFill="1" applyBorder="1" applyAlignment="1" applyProtection="1">
      <alignment horizontal="left" vertical="center" wrapText="1"/>
    </xf>
    <xf numFmtId="0" fontId="0" fillId="5" borderId="98" xfId="0" applyFill="1" applyBorder="1"/>
    <xf numFmtId="0" fontId="7" fillId="6" borderId="0" xfId="0" applyFont="1" applyFill="1" applyAlignment="1">
      <alignment horizontal="left"/>
    </xf>
    <xf numFmtId="0" fontId="5" fillId="6" borderId="0" xfId="0" applyFont="1" applyFill="1" applyBorder="1" applyAlignment="1">
      <alignment horizontal="centerContinuous"/>
    </xf>
    <xf numFmtId="0" fontId="22" fillId="6" borderId="0" xfId="0" applyFont="1" applyFill="1" applyAlignment="1">
      <alignment horizontal="left"/>
    </xf>
    <xf numFmtId="0" fontId="23" fillId="6" borderId="0" xfId="0" applyFont="1" applyFill="1" applyBorder="1" applyAlignment="1">
      <alignment horizontal="centerContinuous"/>
    </xf>
    <xf numFmtId="0" fontId="23" fillId="6" borderId="0" xfId="0" applyFont="1" applyFill="1" applyAlignment="1">
      <alignment horizontal="left"/>
    </xf>
    <xf numFmtId="0" fontId="23" fillId="6" borderId="0" xfId="0" applyFont="1" applyFill="1" applyAlignment="1">
      <alignment horizontal="centerContinuous"/>
    </xf>
    <xf numFmtId="0" fontId="5" fillId="6" borderId="0" xfId="0" applyFont="1" applyFill="1" applyAlignment="1">
      <alignment horizontal="centerContinuous"/>
    </xf>
    <xf numFmtId="0" fontId="14" fillId="5" borderId="0" xfId="0" applyFont="1" applyFill="1" applyBorder="1" applyAlignment="1">
      <alignment vertical="top" wrapText="1"/>
    </xf>
    <xf numFmtId="164" fontId="0" fillId="0" borderId="60" xfId="1" applyNumberFormat="1" applyFont="1" applyBorder="1" applyAlignment="1">
      <alignment vertical="center"/>
    </xf>
    <xf numFmtId="0" fontId="3" fillId="5" borderId="99" xfId="2" applyFont="1" applyFill="1" applyBorder="1" applyAlignment="1" applyProtection="1">
      <alignment horizontal="justify" vertical="center"/>
    </xf>
    <xf numFmtId="0" fontId="14" fillId="5" borderId="100" xfId="0" applyFont="1" applyFill="1" applyBorder="1" applyAlignment="1">
      <alignment horizontal="left" vertical="center" wrapText="1"/>
    </xf>
    <xf numFmtId="0" fontId="0" fillId="5" borderId="101" xfId="0" applyFill="1" applyBorder="1"/>
    <xf numFmtId="0" fontId="14" fillId="5" borderId="102" xfId="0" applyFont="1" applyFill="1" applyBorder="1" applyAlignment="1">
      <alignment horizontal="left" vertical="center" wrapText="1"/>
    </xf>
    <xf numFmtId="0" fontId="0" fillId="5" borderId="103" xfId="0" applyFill="1" applyBorder="1"/>
    <xf numFmtId="0" fontId="14" fillId="5" borderId="9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96" xfId="0" applyFont="1" applyFill="1" applyBorder="1" applyAlignment="1">
      <alignment horizontal="left" vertical="center"/>
    </xf>
    <xf numFmtId="0" fontId="14" fillId="5" borderId="0" xfId="0" applyFont="1" applyFill="1" applyBorder="1" applyAlignment="1">
      <alignment horizontal="left" vertical="center"/>
    </xf>
    <xf numFmtId="44" fontId="6" fillId="0" borderId="0" xfId="0" applyNumberFormat="1" applyFont="1" applyAlignment="1">
      <alignment horizontal="right"/>
    </xf>
    <xf numFmtId="9" fontId="6" fillId="0" borderId="0" xfId="4" applyFont="1" applyAlignment="1">
      <alignment horizontal="right"/>
    </xf>
    <xf numFmtId="10" fontId="6" fillId="0" borderId="0" xfId="0" applyNumberFormat="1" applyFont="1"/>
    <xf numFmtId="10" fontId="26" fillId="0" borderId="0" xfId="0" applyNumberFormat="1" applyFont="1"/>
    <xf numFmtId="6" fontId="3" fillId="2" borderId="40" xfId="0" applyNumberFormat="1" applyFont="1" applyFill="1" applyBorder="1"/>
    <xf numFmtId="6" fontId="3" fillId="2" borderId="61" xfId="0" applyNumberFormat="1" applyFont="1" applyFill="1" applyBorder="1"/>
    <xf numFmtId="6" fontId="3" fillId="2" borderId="41" xfId="0" applyNumberFormat="1" applyFont="1" applyFill="1" applyBorder="1"/>
    <xf numFmtId="6" fontId="3" fillId="0" borderId="0" xfId="0" applyNumberFormat="1" applyFont="1"/>
    <xf numFmtId="6" fontId="3" fillId="2" borderId="21" xfId="0" applyNumberFormat="1" applyFont="1" applyFill="1" applyBorder="1"/>
    <xf numFmtId="6" fontId="3" fillId="2" borderId="58" xfId="0" applyNumberFormat="1" applyFont="1" applyFill="1" applyBorder="1"/>
    <xf numFmtId="6" fontId="3" fillId="2" borderId="22" xfId="0" applyNumberFormat="1" applyFont="1" applyFill="1" applyBorder="1"/>
    <xf numFmtId="6" fontId="3" fillId="0" borderId="9" xfId="0" applyNumberFormat="1" applyFont="1" applyBorder="1"/>
    <xf numFmtId="6" fontId="3" fillId="0" borderId="51" xfId="0" applyNumberFormat="1" applyFont="1" applyBorder="1"/>
    <xf numFmtId="6" fontId="3" fillId="0" borderId="10" xfId="0" applyNumberFormat="1" applyFont="1" applyBorder="1"/>
    <xf numFmtId="6" fontId="3" fillId="3" borderId="51" xfId="0" applyNumberFormat="1" applyFont="1" applyFill="1" applyBorder="1"/>
    <xf numFmtId="6" fontId="3" fillId="0" borderId="54" xfId="0" applyNumberFormat="1" applyFont="1" applyBorder="1"/>
    <xf numFmtId="6" fontId="12" fillId="0" borderId="53" xfId="0" applyNumberFormat="1" applyFont="1" applyBorder="1"/>
    <xf numFmtId="6" fontId="12" fillId="0" borderId="54" xfId="0" applyNumberFormat="1" applyFont="1" applyBorder="1"/>
    <xf numFmtId="6" fontId="12" fillId="0" borderId="28" xfId="0" applyNumberFormat="1" applyFont="1" applyBorder="1"/>
    <xf numFmtId="6" fontId="3" fillId="3" borderId="49" xfId="0" applyNumberFormat="1" applyFont="1" applyFill="1" applyBorder="1"/>
    <xf numFmtId="6" fontId="3" fillId="2" borderId="25" xfId="0" applyNumberFormat="1" applyFont="1" applyFill="1" applyBorder="1"/>
    <xf numFmtId="6" fontId="3" fillId="2" borderId="60" xfId="0" applyNumberFormat="1" applyFont="1" applyFill="1" applyBorder="1"/>
    <xf numFmtId="6" fontId="3" fillId="2" borderId="26" xfId="0" applyNumberFormat="1" applyFont="1" applyFill="1" applyBorder="1"/>
    <xf numFmtId="6" fontId="3" fillId="0" borderId="7" xfId="0" applyNumberFormat="1" applyFont="1" applyBorder="1"/>
    <xf numFmtId="6" fontId="3" fillId="0" borderId="49" xfId="0" applyNumberFormat="1" applyFont="1" applyBorder="1"/>
    <xf numFmtId="6" fontId="3" fillId="0" borderId="8" xfId="0" applyNumberFormat="1" applyFont="1" applyBorder="1"/>
    <xf numFmtId="6" fontId="3" fillId="3" borderId="9" xfId="0" applyNumberFormat="1" applyFont="1" applyFill="1" applyBorder="1"/>
    <xf numFmtId="6" fontId="3" fillId="3" borderId="10" xfId="0" applyNumberFormat="1" applyFont="1" applyFill="1" applyBorder="1"/>
    <xf numFmtId="6" fontId="3" fillId="0" borderId="5" xfId="0" applyNumberFormat="1" applyFont="1" applyBorder="1"/>
    <xf numFmtId="6" fontId="3" fillId="0" borderId="57" xfId="0" applyNumberFormat="1" applyFont="1" applyBorder="1"/>
    <xf numFmtId="6" fontId="3" fillId="0" borderId="6" xfId="0" applyNumberFormat="1" applyFont="1" applyBorder="1"/>
    <xf numFmtId="6" fontId="4" fillId="3" borderId="11" xfId="0" applyNumberFormat="1" applyFont="1" applyFill="1" applyBorder="1"/>
    <xf numFmtId="6" fontId="4" fillId="3" borderId="54" xfId="0" applyNumberFormat="1" applyFont="1" applyFill="1" applyBorder="1"/>
    <xf numFmtId="6" fontId="4" fillId="3" borderId="12" xfId="0" applyNumberFormat="1" applyFont="1" applyFill="1" applyBorder="1"/>
    <xf numFmtId="6" fontId="3" fillId="3" borderId="5" xfId="0" applyNumberFormat="1" applyFont="1" applyFill="1" applyBorder="1"/>
    <xf numFmtId="6" fontId="3" fillId="3" borderId="57" xfId="0" applyNumberFormat="1" applyFont="1" applyFill="1" applyBorder="1"/>
    <xf numFmtId="6" fontId="3" fillId="3" borderId="6" xfId="0" applyNumberFormat="1" applyFont="1" applyFill="1" applyBorder="1"/>
    <xf numFmtId="6" fontId="3" fillId="3" borderId="7" xfId="0" applyNumberFormat="1" applyFont="1" applyFill="1" applyBorder="1"/>
    <xf numFmtId="6" fontId="3" fillId="3" borderId="8" xfId="0" applyNumberFormat="1" applyFont="1" applyFill="1" applyBorder="1"/>
    <xf numFmtId="6" fontId="4" fillId="3" borderId="9" xfId="0" applyNumberFormat="1" applyFont="1" applyFill="1" applyBorder="1"/>
    <xf numFmtId="6" fontId="4" fillId="3" borderId="51" xfId="0" applyNumberFormat="1" applyFont="1" applyFill="1" applyBorder="1"/>
    <xf numFmtId="6" fontId="4" fillId="3" borderId="10" xfId="0" applyNumberFormat="1" applyFont="1" applyFill="1" applyBorder="1"/>
    <xf numFmtId="6" fontId="3" fillId="0" borderId="51" xfId="0" applyNumberFormat="1" applyFont="1" applyFill="1" applyBorder="1"/>
    <xf numFmtId="6" fontId="3" fillId="0" borderId="10" xfId="0" applyNumberFormat="1" applyFont="1" applyFill="1" applyBorder="1"/>
    <xf numFmtId="6" fontId="3" fillId="0" borderId="11" xfId="0" applyNumberFormat="1" applyFont="1" applyBorder="1"/>
    <xf numFmtId="6" fontId="3" fillId="0" borderId="12" xfId="0" applyNumberFormat="1" applyFont="1" applyBorder="1"/>
    <xf numFmtId="6" fontId="3" fillId="0" borderId="7" xfId="0" applyNumberFormat="1" applyFont="1" applyFill="1" applyBorder="1"/>
    <xf numFmtId="6" fontId="3" fillId="0" borderId="49" xfId="0" applyNumberFormat="1" applyFont="1" applyFill="1" applyBorder="1"/>
    <xf numFmtId="6" fontId="3" fillId="0" borderId="8" xfId="0" applyNumberFormat="1" applyFont="1" applyFill="1" applyBorder="1"/>
    <xf numFmtId="6" fontId="3" fillId="3" borderId="21" xfId="0" applyNumberFormat="1" applyFont="1" applyFill="1" applyBorder="1"/>
    <xf numFmtId="6" fontId="3" fillId="3" borderId="58" xfId="0" applyNumberFormat="1" applyFont="1" applyFill="1" applyBorder="1"/>
    <xf numFmtId="6" fontId="3" fillId="3" borderId="22" xfId="0" applyNumberFormat="1" applyFont="1" applyFill="1" applyBorder="1"/>
    <xf numFmtId="6" fontId="3" fillId="3" borderId="43" xfId="0" applyNumberFormat="1" applyFont="1" applyFill="1" applyBorder="1"/>
    <xf numFmtId="6" fontId="3" fillId="3" borderId="59" xfId="0" applyNumberFormat="1" applyFont="1" applyFill="1" applyBorder="1"/>
    <xf numFmtId="6" fontId="3" fillId="3" borderId="44" xfId="0" applyNumberFormat="1" applyFont="1" applyFill="1" applyBorder="1"/>
    <xf numFmtId="6" fontId="4" fillId="3" borderId="21" xfId="0" applyNumberFormat="1" applyFont="1" applyFill="1" applyBorder="1"/>
    <xf numFmtId="6" fontId="4" fillId="3" borderId="58" xfId="0" applyNumberFormat="1" applyFont="1" applyFill="1" applyBorder="1"/>
    <xf numFmtId="6" fontId="4" fillId="3" borderId="22" xfId="0" applyNumberFormat="1" applyFont="1" applyFill="1" applyBorder="1"/>
    <xf numFmtId="6" fontId="12" fillId="0" borderId="12" xfId="0" applyNumberFormat="1" applyFont="1" applyBorder="1"/>
    <xf numFmtId="6" fontId="3" fillId="0" borderId="54" xfId="0" applyNumberFormat="1" applyFont="1" applyFill="1" applyBorder="1"/>
    <xf numFmtId="6" fontId="3" fillId="0" borderId="12" xfId="0" applyNumberFormat="1" applyFont="1" applyFill="1" applyBorder="1"/>
    <xf numFmtId="6" fontId="3" fillId="0" borderId="37" xfId="0" applyNumberFormat="1" applyFont="1" applyBorder="1"/>
    <xf numFmtId="6" fontId="3" fillId="0" borderId="0" xfId="0" applyNumberFormat="1" applyFont="1" applyBorder="1"/>
    <xf numFmtId="6" fontId="3" fillId="0" borderId="11" xfId="0" applyNumberFormat="1" applyFont="1" applyFill="1" applyBorder="1"/>
    <xf numFmtId="6" fontId="12" fillId="0" borderId="11" xfId="0" applyNumberFormat="1" applyFont="1" applyBorder="1"/>
    <xf numFmtId="6" fontId="4" fillId="3" borderId="7" xfId="0" applyNumberFormat="1" applyFont="1" applyFill="1" applyBorder="1"/>
    <xf numFmtId="6" fontId="4" fillId="3" borderId="49" xfId="0" applyNumberFormat="1" applyFont="1" applyFill="1" applyBorder="1"/>
    <xf numFmtId="6" fontId="4" fillId="3" borderId="8" xfId="0" applyNumberFormat="1" applyFont="1" applyFill="1" applyBorder="1"/>
    <xf numFmtId="6" fontId="3" fillId="2" borderId="66" xfId="0" applyNumberFormat="1" applyFont="1" applyFill="1" applyBorder="1"/>
    <xf numFmtId="6" fontId="3" fillId="2" borderId="32" xfId="0" applyNumberFormat="1" applyFont="1" applyFill="1" applyBorder="1"/>
    <xf numFmtId="171" fontId="3" fillId="0" borderId="0" xfId="4" applyNumberFormat="1" applyFont="1"/>
    <xf numFmtId="6" fontId="5" fillId="0" borderId="0" xfId="0" applyNumberFormat="1" applyFont="1"/>
    <xf numFmtId="6" fontId="6" fillId="0" borderId="0" xfId="0" applyNumberFormat="1" applyFont="1"/>
    <xf numFmtId="0" fontId="8" fillId="0" borderId="27" xfId="0" applyNumberFormat="1" applyFont="1" applyBorder="1" applyAlignment="1">
      <alignment horizontal="left"/>
    </xf>
    <xf numFmtId="6" fontId="8" fillId="0" borderId="27" xfId="0" applyNumberFormat="1" applyFont="1" applyBorder="1" applyAlignment="1">
      <alignment horizontal="left"/>
    </xf>
    <xf numFmtId="10" fontId="30" fillId="0" borderId="0" xfId="0" applyNumberFormat="1" applyFont="1"/>
    <xf numFmtId="165" fontId="31" fillId="0" borderId="0" xfId="0" applyNumberFormat="1" applyFont="1" applyBorder="1" applyAlignment="1">
      <alignment vertical="center"/>
    </xf>
    <xf numFmtId="0" fontId="31" fillId="0" borderId="0" xfId="0" applyFont="1" applyBorder="1" applyAlignment="1">
      <alignment vertical="center"/>
    </xf>
    <xf numFmtId="0" fontId="32" fillId="0" borderId="0" xfId="0" applyFont="1" applyBorder="1" applyAlignment="1">
      <alignment horizontal="center"/>
    </xf>
    <xf numFmtId="0" fontId="32" fillId="0" borderId="0" xfId="0" applyFont="1" applyFill="1" applyBorder="1" applyAlignment="1">
      <alignment horizontal="center"/>
    </xf>
    <xf numFmtId="9" fontId="32" fillId="0" borderId="0" xfId="4" applyFont="1" applyBorder="1"/>
    <xf numFmtId="5" fontId="32" fillId="0" borderId="0" xfId="3" applyNumberFormat="1" applyFont="1" applyBorder="1"/>
    <xf numFmtId="0" fontId="32" fillId="8" borderId="60" xfId="5" applyFont="1" applyFill="1" applyBorder="1" applyAlignment="1">
      <alignment horizontal="left"/>
    </xf>
    <xf numFmtId="0" fontId="5" fillId="9" borderId="60" xfId="5" applyFont="1" applyFill="1" applyBorder="1" applyAlignment="1">
      <alignment horizontal="left"/>
    </xf>
    <xf numFmtId="1" fontId="6" fillId="0" borderId="60" xfId="5" applyNumberFormat="1" applyFont="1" applyFill="1" applyBorder="1" applyAlignment="1">
      <alignment horizontal="center"/>
    </xf>
    <xf numFmtId="1" fontId="5" fillId="0" borderId="60" xfId="5" applyNumberFormat="1" applyFont="1" applyFill="1" applyBorder="1" applyAlignment="1">
      <alignment horizontal="center"/>
    </xf>
    <xf numFmtId="172" fontId="32" fillId="8" borderId="60" xfId="5" applyNumberFormat="1" applyFont="1" applyFill="1" applyBorder="1" applyAlignment="1">
      <alignment horizontal="center"/>
    </xf>
    <xf numFmtId="6" fontId="6" fillId="0" borderId="60" xfId="0" applyNumberFormat="1" applyFont="1" applyBorder="1"/>
    <xf numFmtId="0" fontId="33" fillId="9" borderId="60" xfId="5" applyFont="1" applyFill="1" applyBorder="1" applyAlignment="1">
      <alignment horizontal="left"/>
    </xf>
    <xf numFmtId="0" fontId="6" fillId="0" borderId="60" xfId="0" applyFont="1" applyBorder="1"/>
    <xf numFmtId="171" fontId="34" fillId="0" borderId="60" xfId="4" applyNumberFormat="1" applyFont="1" applyBorder="1"/>
    <xf numFmtId="6" fontId="5" fillId="12" borderId="60" xfId="0" applyNumberFormat="1" applyFont="1" applyFill="1" applyBorder="1"/>
    <xf numFmtId="0" fontId="5" fillId="8" borderId="60" xfId="5" applyFont="1" applyFill="1" applyBorder="1" applyAlignment="1">
      <alignment horizontal="center"/>
    </xf>
    <xf numFmtId="165" fontId="6" fillId="0" borderId="60" xfId="1" applyNumberFormat="1" applyFont="1" applyFill="1" applyBorder="1" applyAlignment="1">
      <alignment horizontal="center"/>
    </xf>
    <xf numFmtId="167" fontId="6" fillId="0" borderId="60" xfId="1" applyNumberFormat="1" applyFont="1" applyFill="1" applyBorder="1" applyAlignment="1">
      <alignment horizontal="center"/>
    </xf>
    <xf numFmtId="0" fontId="6" fillId="10" borderId="0" xfId="0" applyFont="1" applyFill="1"/>
    <xf numFmtId="164" fontId="6" fillId="0" borderId="0" xfId="1" applyNumberFormat="1" applyFont="1"/>
    <xf numFmtId="165" fontId="6" fillId="0" borderId="0" xfId="0" applyNumberFormat="1" applyFont="1" applyBorder="1"/>
    <xf numFmtId="166" fontId="6" fillId="0" borderId="60" xfId="1" applyNumberFormat="1" applyFont="1" applyFill="1" applyBorder="1" applyAlignment="1">
      <alignment horizontal="center"/>
    </xf>
    <xf numFmtId="44" fontId="6" fillId="0" borderId="0" xfId="1" applyFont="1" applyBorder="1"/>
    <xf numFmtId="43" fontId="6" fillId="0" borderId="0" xfId="3" applyFont="1" applyBorder="1"/>
    <xf numFmtId="171" fontId="6" fillId="0" borderId="60" xfId="4" applyNumberFormat="1" applyFont="1" applyFill="1" applyBorder="1" applyAlignment="1">
      <alignment horizontal="center"/>
    </xf>
    <xf numFmtId="0" fontId="5" fillId="8" borderId="65" xfId="5" applyFont="1" applyFill="1" applyBorder="1" applyAlignment="1">
      <alignment horizontal="center"/>
    </xf>
    <xf numFmtId="10" fontId="6" fillId="0" borderId="60" xfId="4" applyNumberFormat="1" applyFont="1" applyFill="1" applyBorder="1" applyAlignment="1">
      <alignment horizontal="center"/>
    </xf>
    <xf numFmtId="9" fontId="6" fillId="0" borderId="0" xfId="4" applyFont="1" applyBorder="1"/>
    <xf numFmtId="5" fontId="6" fillId="0" borderId="0" xfId="3" applyNumberFormat="1" applyFont="1" applyBorder="1"/>
    <xf numFmtId="7" fontId="6" fillId="0" borderId="0" xfId="3" applyNumberFormat="1" applyFont="1" applyBorder="1"/>
    <xf numFmtId="10" fontId="6" fillId="0" borderId="0" xfId="0" applyNumberFormat="1" applyFont="1" applyBorder="1"/>
    <xf numFmtId="168" fontId="6" fillId="0" borderId="0" xfId="0" applyNumberFormat="1" applyFont="1" applyBorder="1"/>
    <xf numFmtId="0" fontId="5" fillId="9" borderId="109" xfId="5" applyFont="1" applyFill="1" applyBorder="1" applyAlignment="1">
      <alignment horizontal="left"/>
    </xf>
    <xf numFmtId="10" fontId="6" fillId="0" borderId="109" xfId="4" applyNumberFormat="1" applyFont="1" applyFill="1" applyBorder="1" applyAlignment="1">
      <alignment horizontal="center"/>
    </xf>
    <xf numFmtId="0" fontId="5" fillId="9" borderId="110" xfId="5" applyFont="1" applyFill="1" applyBorder="1" applyAlignment="1">
      <alignment horizontal="left"/>
    </xf>
    <xf numFmtId="10" fontId="6" fillId="0" borderId="110" xfId="4" applyNumberFormat="1" applyFont="1" applyFill="1" applyBorder="1" applyAlignment="1">
      <alignment horizontal="center"/>
    </xf>
    <xf numFmtId="8" fontId="6" fillId="0" borderId="0" xfId="0" applyNumberFormat="1" applyFont="1" applyBorder="1"/>
    <xf numFmtId="0" fontId="32" fillId="8" borderId="60" xfId="5" applyFont="1" applyFill="1" applyBorder="1" applyAlignment="1">
      <alignment horizontal="center" wrapText="1"/>
    </xf>
    <xf numFmtId="165" fontId="6" fillId="0" borderId="0" xfId="1" applyNumberFormat="1" applyFont="1" applyFill="1" applyBorder="1" applyAlignment="1">
      <alignment horizontal="center"/>
    </xf>
    <xf numFmtId="1" fontId="6" fillId="0" borderId="60" xfId="3" applyNumberFormat="1" applyFont="1" applyFill="1" applyBorder="1" applyAlignment="1">
      <alignment horizontal="center"/>
    </xf>
    <xf numFmtId="9" fontId="6" fillId="0" borderId="60" xfId="4" applyFont="1" applyFill="1" applyBorder="1" applyAlignment="1">
      <alignment horizontal="center"/>
    </xf>
    <xf numFmtId="1" fontId="6" fillId="0" borderId="109" xfId="3" applyNumberFormat="1" applyFont="1" applyFill="1" applyBorder="1" applyAlignment="1">
      <alignment horizontal="center"/>
    </xf>
    <xf numFmtId="9" fontId="6" fillId="0" borderId="109" xfId="4" applyFont="1" applyFill="1" applyBorder="1" applyAlignment="1">
      <alignment horizontal="center"/>
    </xf>
    <xf numFmtId="1" fontId="6" fillId="0" borderId="0" xfId="0" applyNumberFormat="1" applyFont="1"/>
    <xf numFmtId="1" fontId="6" fillId="0" borderId="110" xfId="3" applyNumberFormat="1" applyFont="1" applyFill="1" applyBorder="1" applyAlignment="1">
      <alignment horizontal="center"/>
    </xf>
    <xf numFmtId="9" fontId="6" fillId="0" borderId="110" xfId="4" applyFont="1" applyFill="1" applyBorder="1" applyAlignment="1">
      <alignment horizontal="center"/>
    </xf>
    <xf numFmtId="6" fontId="3" fillId="0" borderId="0" xfId="0" applyNumberFormat="1" applyFont="1" applyFill="1"/>
    <xf numFmtId="0" fontId="5" fillId="8" borderId="65" xfId="5" applyFont="1" applyFill="1" applyBorder="1" applyAlignment="1">
      <alignment horizontal="center"/>
    </xf>
    <xf numFmtId="0" fontId="6" fillId="0" borderId="0" xfId="0" applyFont="1"/>
    <xf numFmtId="0" fontId="6" fillId="0" borderId="0" xfId="0" applyFont="1" applyAlignment="1">
      <alignment wrapText="1"/>
    </xf>
    <xf numFmtId="6" fontId="35" fillId="0" borderId="0" xfId="0" applyNumberFormat="1" applyFont="1" applyFill="1"/>
    <xf numFmtId="0" fontId="37" fillId="0" borderId="0" xfId="0" applyFont="1" applyAlignment="1">
      <alignment horizontal="right"/>
    </xf>
    <xf numFmtId="0" fontId="37" fillId="0" borderId="0" xfId="0" applyFont="1" applyAlignment="1">
      <alignment horizontal="left"/>
    </xf>
    <xf numFmtId="6" fontId="38" fillId="0" borderId="0" xfId="0" applyNumberFormat="1" applyFont="1"/>
    <xf numFmtId="0" fontId="37" fillId="0" borderId="0" xfId="0" applyFont="1"/>
    <xf numFmtId="171" fontId="38" fillId="0" borderId="0" xfId="4" applyNumberFormat="1" applyFont="1"/>
    <xf numFmtId="0" fontId="39" fillId="0" borderId="0" xfId="0" applyFont="1" applyAlignment="1">
      <alignment horizontal="right"/>
    </xf>
    <xf numFmtId="167" fontId="31" fillId="0" borderId="0" xfId="0" applyNumberFormat="1" applyFont="1" applyBorder="1" applyAlignment="1">
      <alignment vertical="center"/>
    </xf>
    <xf numFmtId="8" fontId="6" fillId="0" borderId="0" xfId="0" applyNumberFormat="1" applyFont="1" applyFill="1" applyBorder="1"/>
    <xf numFmtId="8" fontId="34" fillId="0" borderId="0" xfId="0" applyNumberFormat="1" applyFont="1" applyFill="1" applyBorder="1"/>
    <xf numFmtId="8" fontId="5" fillId="0" borderId="0" xfId="0" applyNumberFormat="1" applyFont="1" applyFill="1" applyBorder="1"/>
    <xf numFmtId="170" fontId="6" fillId="0" borderId="0" xfId="3" applyNumberFormat="1" applyFont="1" applyFill="1" applyBorder="1"/>
    <xf numFmtId="6" fontId="6" fillId="0" borderId="0" xfId="0" applyNumberFormat="1" applyFont="1" applyFill="1" applyBorder="1"/>
    <xf numFmtId="10" fontId="6" fillId="0" borderId="0" xfId="3" applyNumberFormat="1" applyFont="1" applyFill="1" applyBorder="1"/>
    <xf numFmtId="169" fontId="6" fillId="0" borderId="0" xfId="3" applyNumberFormat="1" applyFont="1" applyFill="1" applyBorder="1"/>
    <xf numFmtId="169" fontId="6" fillId="0" borderId="0" xfId="0" applyNumberFormat="1" applyFont="1" applyFill="1" applyBorder="1"/>
    <xf numFmtId="0" fontId="36" fillId="0" borderId="0" xfId="0" applyNumberFormat="1" applyFont="1" applyFill="1" applyBorder="1" applyAlignment="1">
      <alignment horizontal="center"/>
    </xf>
    <xf numFmtId="0" fontId="5" fillId="0" borderId="0" xfId="0" applyFont="1" applyFill="1" applyBorder="1" applyAlignment="1">
      <alignment horizontal="center" vertical="center" wrapText="1"/>
    </xf>
    <xf numFmtId="0" fontId="6" fillId="0" borderId="0" xfId="0" applyFont="1" applyFill="1" applyBorder="1" applyAlignment="1">
      <alignment vertical="center"/>
    </xf>
    <xf numFmtId="8" fontId="5" fillId="0" borderId="0" xfId="0" applyNumberFormat="1" applyFont="1" applyFill="1" applyBorder="1" applyAlignment="1">
      <alignment horizontal="center"/>
    </xf>
    <xf numFmtId="8" fontId="6" fillId="0" borderId="0" xfId="0" applyNumberFormat="1" applyFont="1" applyFill="1" applyBorder="1" applyAlignment="1">
      <alignment horizontal="center"/>
    </xf>
    <xf numFmtId="9" fontId="6" fillId="0" borderId="0" xfId="0" applyNumberFormat="1" applyFont="1" applyFill="1" applyBorder="1"/>
    <xf numFmtId="171" fontId="30" fillId="0" borderId="60" xfId="0" applyNumberFormat="1" applyFont="1" applyBorder="1" applyAlignment="1">
      <alignment horizontal="center"/>
    </xf>
    <xf numFmtId="0" fontId="6" fillId="9" borderId="60" xfId="5" applyFont="1" applyFill="1" applyBorder="1" applyAlignment="1">
      <alignment horizontal="left"/>
    </xf>
    <xf numFmtId="173" fontId="6" fillId="0" borderId="60" xfId="5" applyNumberFormat="1" applyFont="1" applyFill="1" applyBorder="1" applyAlignment="1">
      <alignment horizontal="center"/>
    </xf>
    <xf numFmtId="0" fontId="6" fillId="0" borderId="0" xfId="0" applyFont="1"/>
    <xf numFmtId="0" fontId="6" fillId="0" borderId="0" xfId="0" applyFont="1"/>
    <xf numFmtId="0" fontId="5" fillId="8" borderId="65" xfId="5" applyFont="1" applyFill="1" applyBorder="1" applyAlignment="1">
      <alignment horizontal="center"/>
    </xf>
    <xf numFmtId="0" fontId="23" fillId="6" borderId="0" xfId="0" applyFont="1" applyFill="1" applyAlignment="1">
      <alignment horizontal="left"/>
    </xf>
    <xf numFmtId="0" fontId="5" fillId="0" borderId="0" xfId="0" applyFont="1" applyFill="1" applyBorder="1" applyAlignment="1">
      <alignment horizontal="center" vertical="center" wrapText="1"/>
    </xf>
    <xf numFmtId="0" fontId="6" fillId="0" borderId="0" xfId="0" applyFont="1" applyFill="1" applyBorder="1" applyAlignment="1">
      <alignment vertical="center"/>
    </xf>
    <xf numFmtId="0" fontId="5" fillId="0" borderId="0" xfId="0" applyFont="1" applyFill="1" applyAlignment="1">
      <alignment horizontal="center"/>
    </xf>
    <xf numFmtId="0" fontId="6" fillId="0" borderId="0" xfId="0" applyFont="1" applyAlignment="1">
      <alignment wrapText="1"/>
    </xf>
    <xf numFmtId="171" fontId="36" fillId="0" borderId="60" xfId="0" applyNumberFormat="1" applyFont="1" applyBorder="1" applyAlignment="1">
      <alignment horizontal="center"/>
    </xf>
    <xf numFmtId="171" fontId="6" fillId="0" borderId="60" xfId="0" applyNumberFormat="1" applyFont="1" applyBorder="1" applyAlignment="1">
      <alignment horizontal="center"/>
    </xf>
    <xf numFmtId="1" fontId="6" fillId="0" borderId="60" xfId="0" applyNumberFormat="1" applyFont="1" applyBorder="1" applyAlignment="1">
      <alignment horizontal="center"/>
    </xf>
    <xf numFmtId="8" fontId="6" fillId="0" borderId="0" xfId="0" applyNumberFormat="1" applyFont="1" applyFill="1" applyBorder="1" applyAlignment="1">
      <alignment horizontal="left"/>
    </xf>
    <xf numFmtId="0" fontId="5" fillId="8" borderId="65" xfId="5" applyFont="1" applyFill="1" applyBorder="1" applyAlignment="1">
      <alignment wrapText="1"/>
    </xf>
    <xf numFmtId="164" fontId="6" fillId="10" borderId="111" xfId="1" applyNumberFormat="1" applyFont="1" applyFill="1" applyBorder="1"/>
    <xf numFmtId="0" fontId="6" fillId="10" borderId="57" xfId="0" applyFont="1" applyFill="1" applyBorder="1"/>
    <xf numFmtId="0" fontId="6" fillId="10" borderId="110" xfId="0" applyFont="1" applyFill="1" applyBorder="1"/>
    <xf numFmtId="0" fontId="6" fillId="0" borderId="0" xfId="0" applyFont="1" applyAlignment="1"/>
    <xf numFmtId="8" fontId="1" fillId="3" borderId="48" xfId="0" applyNumberFormat="1" applyFont="1" applyFill="1" applyBorder="1"/>
    <xf numFmtId="8" fontId="1" fillId="3" borderId="49" xfId="0" applyNumberFormat="1" applyFont="1" applyFill="1" applyBorder="1"/>
    <xf numFmtId="8" fontId="1" fillId="3" borderId="8" xfId="0" applyNumberFormat="1" applyFont="1" applyFill="1" applyBorder="1"/>
    <xf numFmtId="8" fontId="1" fillId="3" borderId="50" xfId="0" applyNumberFormat="1" applyFont="1" applyFill="1" applyBorder="1"/>
    <xf numFmtId="8" fontId="1" fillId="3" borderId="51" xfId="0" applyNumberFormat="1" applyFont="1" applyFill="1" applyBorder="1"/>
    <xf numFmtId="8" fontId="1" fillId="3" borderId="10" xfId="0" applyNumberFormat="1" applyFont="1" applyFill="1" applyBorder="1"/>
    <xf numFmtId="6" fontId="1" fillId="0" borderId="50" xfId="0" applyNumberFormat="1" applyFont="1" applyBorder="1"/>
    <xf numFmtId="8" fontId="1" fillId="0" borderId="51" xfId="0" applyNumberFormat="1" applyFont="1" applyBorder="1"/>
    <xf numFmtId="8" fontId="1" fillId="0" borderId="10" xfId="0" applyNumberFormat="1" applyFont="1" applyBorder="1"/>
    <xf numFmtId="6" fontId="1" fillId="0" borderId="52" xfId="0" applyNumberFormat="1" applyFont="1" applyBorder="1"/>
    <xf numFmtId="8" fontId="1" fillId="0" borderId="53" xfId="0" applyNumberFormat="1" applyFont="1" applyBorder="1"/>
    <xf numFmtId="8" fontId="1" fillId="0" borderId="54" xfId="0" applyNumberFormat="1" applyFont="1" applyBorder="1"/>
    <xf numFmtId="8" fontId="1" fillId="0" borderId="12" xfId="0" applyNumberFormat="1" applyFont="1" applyBorder="1"/>
    <xf numFmtId="8" fontId="1" fillId="2" borderId="55" xfId="0" applyNumberFormat="1" applyFont="1" applyFill="1" applyBorder="1"/>
    <xf numFmtId="8" fontId="1" fillId="2" borderId="26" xfId="0" applyNumberFormat="1" applyFont="1" applyFill="1" applyBorder="1"/>
    <xf numFmtId="8" fontId="1" fillId="0" borderId="49" xfId="0" applyNumberFormat="1" applyFont="1" applyFill="1" applyBorder="1"/>
    <xf numFmtId="8" fontId="1" fillId="0" borderId="8" xfId="0" applyNumberFormat="1" applyFont="1" applyFill="1" applyBorder="1"/>
    <xf numFmtId="8" fontId="1" fillId="0" borderId="53" xfId="0" applyNumberFormat="1" applyFont="1" applyFill="1" applyBorder="1"/>
    <xf numFmtId="8" fontId="1" fillId="0" borderId="54" xfId="0" applyNumberFormat="1" applyFont="1" applyFill="1" applyBorder="1"/>
    <xf numFmtId="8" fontId="1" fillId="0" borderId="12" xfId="0" applyNumberFormat="1" applyFont="1" applyFill="1" applyBorder="1"/>
    <xf numFmtId="6" fontId="1" fillId="2" borderId="56" xfId="0" applyNumberFormat="1" applyFont="1" applyFill="1" applyBorder="1"/>
    <xf numFmtId="6" fontId="1" fillId="2" borderId="22" xfId="0" applyNumberFormat="1" applyFont="1" applyFill="1" applyBorder="1"/>
    <xf numFmtId="0" fontId="1" fillId="0" borderId="0" xfId="0" applyFont="1"/>
    <xf numFmtId="171" fontId="1" fillId="0" borderId="0" xfId="4" applyNumberFormat="1" applyFont="1"/>
    <xf numFmtId="6" fontId="1" fillId="0" borderId="5" xfId="0" applyNumberFormat="1" applyFont="1" applyBorder="1"/>
    <xf numFmtId="6" fontId="1" fillId="0" borderId="57" xfId="0" applyNumberFormat="1" applyFont="1" applyBorder="1"/>
    <xf numFmtId="6" fontId="1" fillId="0" borderId="6" xfId="0" applyNumberFormat="1" applyFont="1" applyBorder="1"/>
    <xf numFmtId="6" fontId="1" fillId="3" borderId="9" xfId="0" applyNumberFormat="1" applyFont="1" applyFill="1" applyBorder="1"/>
    <xf numFmtId="6" fontId="1" fillId="3" borderId="51" xfId="0" applyNumberFormat="1" applyFont="1" applyFill="1" applyBorder="1"/>
    <xf numFmtId="6" fontId="1" fillId="3" borderId="10" xfId="0" applyNumberFormat="1" applyFont="1" applyFill="1" applyBorder="1"/>
    <xf numFmtId="6" fontId="1" fillId="0" borderId="51" xfId="0" applyNumberFormat="1" applyFont="1" applyBorder="1"/>
    <xf numFmtId="6" fontId="1" fillId="0" borderId="10" xfId="0" applyNumberFormat="1" applyFont="1" applyBorder="1"/>
    <xf numFmtId="6" fontId="1" fillId="0" borderId="9" xfId="0" applyNumberFormat="1" applyFont="1" applyBorder="1"/>
    <xf numFmtId="6" fontId="1" fillId="2" borderId="25" xfId="0" applyNumberFormat="1" applyFont="1" applyFill="1" applyBorder="1"/>
    <xf numFmtId="6" fontId="1" fillId="2" borderId="60" xfId="0" applyNumberFormat="1" applyFont="1" applyFill="1" applyBorder="1"/>
    <xf numFmtId="6" fontId="1" fillId="2" borderId="26" xfId="0" applyNumberFormat="1" applyFont="1" applyFill="1" applyBorder="1"/>
    <xf numFmtId="6" fontId="1" fillId="0" borderId="11" xfId="0" applyNumberFormat="1" applyFont="1" applyBorder="1"/>
    <xf numFmtId="6" fontId="1" fillId="0" borderId="54" xfId="0" applyNumberFormat="1" applyFont="1" applyBorder="1"/>
    <xf numFmtId="6" fontId="1" fillId="0" borderId="12" xfId="0" applyNumberFormat="1" applyFont="1" applyBorder="1"/>
    <xf numFmtId="6" fontId="1" fillId="2" borderId="21" xfId="0" applyNumberFormat="1" applyFont="1" applyFill="1" applyBorder="1"/>
    <xf numFmtId="6" fontId="1" fillId="2" borderId="58" xfId="0" applyNumberFormat="1" applyFont="1" applyFill="1" applyBorder="1"/>
    <xf numFmtId="6" fontId="1" fillId="0" borderId="7" xfId="0" applyNumberFormat="1" applyFont="1" applyBorder="1"/>
    <xf numFmtId="6" fontId="1" fillId="0" borderId="49" xfId="0" applyNumberFormat="1" applyFont="1" applyBorder="1"/>
    <xf numFmtId="6" fontId="1" fillId="0" borderId="8" xfId="0" applyNumberFormat="1" applyFont="1" applyBorder="1"/>
    <xf numFmtId="6" fontId="1" fillId="3" borderId="5" xfId="0" applyNumberFormat="1" applyFont="1" applyFill="1" applyBorder="1"/>
    <xf numFmtId="6" fontId="1" fillId="3" borderId="57" xfId="0" applyNumberFormat="1" applyFont="1" applyFill="1" applyBorder="1"/>
    <xf numFmtId="6" fontId="1" fillId="3" borderId="6" xfId="0" applyNumberFormat="1" applyFont="1" applyFill="1" applyBorder="1"/>
    <xf numFmtId="6" fontId="1" fillId="3" borderId="7" xfId="0" applyNumberFormat="1" applyFont="1" applyFill="1" applyBorder="1"/>
    <xf numFmtId="6" fontId="1" fillId="3" borderId="49" xfId="0" applyNumberFormat="1" applyFont="1" applyFill="1" applyBorder="1"/>
    <xf numFmtId="6" fontId="1" fillId="3" borderId="8" xfId="0" applyNumberFormat="1" applyFont="1" applyFill="1" applyBorder="1"/>
    <xf numFmtId="6" fontId="1" fillId="0" borderId="51" xfId="0" applyNumberFormat="1" applyFont="1" applyFill="1" applyBorder="1"/>
    <xf numFmtId="6" fontId="1" fillId="0" borderId="10" xfId="0" applyNumberFormat="1" applyFont="1" applyFill="1" applyBorder="1"/>
    <xf numFmtId="6" fontId="1" fillId="0" borderId="7" xfId="0" applyNumberFormat="1" applyFont="1" applyFill="1" applyBorder="1"/>
    <xf numFmtId="6" fontId="1" fillId="0" borderId="49" xfId="0" applyNumberFormat="1" applyFont="1" applyFill="1" applyBorder="1"/>
    <xf numFmtId="6" fontId="1" fillId="0" borderId="8" xfId="0" applyNumberFormat="1" applyFont="1" applyFill="1" applyBorder="1"/>
    <xf numFmtId="6" fontId="1" fillId="3" borderId="21" xfId="0" applyNumberFormat="1" applyFont="1" applyFill="1" applyBorder="1"/>
    <xf numFmtId="6" fontId="1" fillId="3" borderId="58" xfId="0" applyNumberFormat="1" applyFont="1" applyFill="1" applyBorder="1"/>
    <xf numFmtId="6" fontId="1" fillId="3" borderId="22" xfId="0" applyNumberFormat="1" applyFont="1" applyFill="1" applyBorder="1"/>
    <xf numFmtId="6" fontId="1" fillId="3" borderId="43" xfId="0" applyNumberFormat="1" applyFont="1" applyFill="1" applyBorder="1"/>
    <xf numFmtId="6" fontId="1" fillId="3" borderId="59" xfId="0" applyNumberFormat="1" applyFont="1" applyFill="1" applyBorder="1"/>
    <xf numFmtId="6" fontId="1" fillId="3" borderId="44" xfId="0" applyNumberFormat="1" applyFont="1" applyFill="1" applyBorder="1"/>
    <xf numFmtId="6" fontId="1" fillId="2" borderId="40" xfId="0" applyNumberFormat="1" applyFont="1" applyFill="1" applyBorder="1"/>
    <xf numFmtId="6" fontId="1" fillId="2" borderId="61" xfId="0" applyNumberFormat="1" applyFont="1" applyFill="1" applyBorder="1"/>
    <xf numFmtId="6" fontId="1" fillId="2" borderId="41" xfId="0" applyNumberFormat="1" applyFont="1" applyFill="1" applyBorder="1"/>
    <xf numFmtId="8" fontId="1" fillId="0" borderId="9" xfId="0" applyNumberFormat="1" applyFont="1" applyBorder="1"/>
    <xf numFmtId="8" fontId="1" fillId="2" borderId="21" xfId="0" applyNumberFormat="1" applyFont="1" applyFill="1" applyBorder="1"/>
    <xf numFmtId="8" fontId="1" fillId="2" borderId="58" xfId="0" applyNumberFormat="1" applyFont="1" applyFill="1" applyBorder="1"/>
    <xf numFmtId="8" fontId="1" fillId="2" borderId="22" xfId="0" applyNumberFormat="1" applyFont="1" applyFill="1" applyBorder="1"/>
    <xf numFmtId="8" fontId="1" fillId="3" borderId="43" xfId="0" applyNumberFormat="1" applyFont="1" applyFill="1" applyBorder="1"/>
    <xf numFmtId="8" fontId="1" fillId="3" borderId="59" xfId="0" applyNumberFormat="1" applyFont="1" applyFill="1" applyBorder="1"/>
    <xf numFmtId="8" fontId="1" fillId="3" borderId="44" xfId="0" applyNumberFormat="1" applyFont="1" applyFill="1" applyBorder="1"/>
    <xf numFmtId="8" fontId="1" fillId="3" borderId="45" xfId="0" applyNumberFormat="1" applyFont="1" applyFill="1" applyBorder="1"/>
    <xf numFmtId="8" fontId="1" fillId="3" borderId="46" xfId="0" applyNumberFormat="1" applyFont="1" applyFill="1" applyBorder="1"/>
    <xf numFmtId="8" fontId="1" fillId="3" borderId="47" xfId="0" applyNumberFormat="1" applyFont="1" applyFill="1" applyBorder="1"/>
    <xf numFmtId="8" fontId="1" fillId="3" borderId="29" xfId="0" applyNumberFormat="1" applyFont="1" applyFill="1" applyBorder="1"/>
    <xf numFmtId="8" fontId="1" fillId="3" borderId="52" xfId="0" applyNumberFormat="1" applyFont="1" applyFill="1" applyBorder="1"/>
    <xf numFmtId="6" fontId="1" fillId="3" borderId="50" xfId="0" applyNumberFormat="1" applyFont="1" applyFill="1" applyBorder="1"/>
    <xf numFmtId="6" fontId="1" fillId="3" borderId="52" xfId="0" applyNumberFormat="1" applyFont="1" applyFill="1" applyBorder="1"/>
    <xf numFmtId="6" fontId="1" fillId="0" borderId="28" xfId="0" applyNumberFormat="1" applyFont="1" applyBorder="1"/>
    <xf numFmtId="6" fontId="1" fillId="0" borderId="53" xfId="0" applyNumberFormat="1" applyFont="1" applyBorder="1"/>
    <xf numFmtId="6" fontId="1" fillId="2" borderId="55" xfId="0" applyNumberFormat="1" applyFont="1" applyFill="1" applyBorder="1"/>
    <xf numFmtId="6" fontId="1" fillId="2" borderId="24" xfId="0" applyNumberFormat="1" applyFont="1" applyFill="1" applyBorder="1"/>
    <xf numFmtId="6" fontId="1" fillId="3" borderId="48" xfId="0" applyNumberFormat="1" applyFont="1" applyFill="1" applyBorder="1"/>
    <xf numFmtId="6" fontId="1" fillId="3" borderId="29" xfId="0" applyNumberFormat="1" applyFont="1" applyFill="1" applyBorder="1"/>
    <xf numFmtId="167" fontId="6" fillId="0" borderId="0" xfId="0" applyNumberFormat="1" applyFont="1"/>
    <xf numFmtId="171" fontId="6" fillId="0" borderId="0" xfId="4" applyNumberFormat="1" applyFont="1"/>
    <xf numFmtId="165" fontId="5" fillId="8" borderId="65" xfId="5" applyNumberFormat="1" applyFont="1" applyFill="1" applyBorder="1" applyAlignment="1">
      <alignment horizontal="center"/>
    </xf>
    <xf numFmtId="0" fontId="6" fillId="9" borderId="111" xfId="5" applyFont="1" applyFill="1" applyBorder="1" applyAlignment="1">
      <alignment horizontal="left"/>
    </xf>
    <xf numFmtId="173" fontId="6" fillId="0" borderId="111" xfId="5" applyNumberFormat="1" applyFont="1" applyFill="1" applyBorder="1" applyAlignment="1">
      <alignment horizontal="center"/>
    </xf>
    <xf numFmtId="0" fontId="5" fillId="9" borderId="112" xfId="5" applyFont="1" applyFill="1" applyBorder="1" applyAlignment="1">
      <alignment horizontal="left"/>
    </xf>
    <xf numFmtId="173" fontId="6" fillId="0" borderId="112" xfId="5" applyNumberFormat="1" applyFont="1" applyFill="1" applyBorder="1" applyAlignment="1">
      <alignment horizontal="center"/>
    </xf>
    <xf numFmtId="10" fontId="40" fillId="0" borderId="60" xfId="0" applyNumberFormat="1" applyFont="1" applyBorder="1" applyAlignment="1">
      <alignment horizontal="center"/>
    </xf>
    <xf numFmtId="171" fontId="6" fillId="0" borderId="0" xfId="4" applyNumberFormat="1" applyFont="1" applyAlignment="1">
      <alignment horizontal="center"/>
    </xf>
    <xf numFmtId="0" fontId="32" fillId="8" borderId="60" xfId="5" applyFont="1" applyFill="1" applyBorder="1" applyAlignment="1">
      <alignment horizontal="center"/>
    </xf>
    <xf numFmtId="169" fontId="6" fillId="0" borderId="0" xfId="3" applyNumberFormat="1" applyFont="1" applyFill="1" applyBorder="1" applyAlignment="1">
      <alignment horizontal="left" indent="1"/>
    </xf>
    <xf numFmtId="170" fontId="6" fillId="0" borderId="0" xfId="3" applyNumberFormat="1" applyFont="1"/>
    <xf numFmtId="170" fontId="6" fillId="0" borderId="0" xfId="0" applyNumberFormat="1" applyFont="1"/>
    <xf numFmtId="0" fontId="5" fillId="0" borderId="0" xfId="0" applyFont="1" applyFill="1"/>
    <xf numFmtId="171" fontId="6" fillId="0" borderId="0" xfId="0" applyNumberFormat="1" applyFont="1"/>
    <xf numFmtId="0" fontId="16" fillId="0" borderId="0" xfId="0" applyFont="1" applyAlignment="1">
      <alignment horizontal="center"/>
    </xf>
    <xf numFmtId="0" fontId="14" fillId="5" borderId="104" xfId="0" applyFont="1" applyFill="1" applyBorder="1" applyAlignment="1">
      <alignment horizontal="left" vertical="center" wrapText="1"/>
    </xf>
    <xf numFmtId="0" fontId="14" fillId="5" borderId="37" xfId="0" applyFont="1" applyFill="1" applyBorder="1" applyAlignment="1">
      <alignment horizontal="left" vertical="center" wrapText="1"/>
    </xf>
    <xf numFmtId="0" fontId="14" fillId="5" borderId="105" xfId="0" applyFont="1" applyFill="1" applyBorder="1" applyAlignment="1">
      <alignment horizontal="left" vertical="center" wrapText="1"/>
    </xf>
    <xf numFmtId="0" fontId="18" fillId="5" borderId="106" xfId="0" applyFont="1" applyFill="1" applyBorder="1" applyAlignment="1">
      <alignment horizontal="center" vertical="top" wrapText="1"/>
    </xf>
    <xf numFmtId="0" fontId="14" fillId="5" borderId="96"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96" xfId="0" applyFont="1" applyFill="1" applyBorder="1" applyAlignment="1">
      <alignment horizontal="left" vertical="center"/>
    </xf>
    <xf numFmtId="0" fontId="14" fillId="5" borderId="0" xfId="0" applyFont="1" applyFill="1" applyBorder="1" applyAlignment="1">
      <alignment horizontal="left" vertical="center"/>
    </xf>
    <xf numFmtId="0" fontId="0" fillId="0" borderId="60" xfId="0" applyFill="1" applyBorder="1" applyAlignment="1">
      <alignment horizontal="center" vertical="center"/>
    </xf>
    <xf numFmtId="0" fontId="14" fillId="5" borderId="99" xfId="0" applyFont="1" applyFill="1" applyBorder="1" applyAlignment="1">
      <alignment horizontal="left" vertical="center" wrapText="1"/>
    </xf>
    <xf numFmtId="0" fontId="14" fillId="5" borderId="106" xfId="0" applyFont="1" applyFill="1" applyBorder="1" applyAlignment="1">
      <alignment horizontal="left" vertical="center" wrapText="1"/>
    </xf>
    <xf numFmtId="0" fontId="0" fillId="0" borderId="60" xfId="0" applyBorder="1" applyAlignment="1">
      <alignment horizontal="center" vertical="center"/>
    </xf>
    <xf numFmtId="0" fontId="19" fillId="5" borderId="96" xfId="0" applyFont="1" applyFill="1" applyBorder="1" applyAlignment="1">
      <alignment horizontal="left" vertical="top" wrapText="1"/>
    </xf>
    <xf numFmtId="0" fontId="19" fillId="5" borderId="0" xfId="0" applyFont="1" applyFill="1" applyBorder="1" applyAlignment="1">
      <alignment horizontal="left" vertical="top" wrapText="1"/>
    </xf>
    <xf numFmtId="0" fontId="6" fillId="5" borderId="96" xfId="0" applyFont="1" applyFill="1" applyBorder="1" applyAlignment="1">
      <alignment horizontal="left" vertical="center" wrapText="1"/>
    </xf>
    <xf numFmtId="0" fontId="6" fillId="5" borderId="0" xfId="0" applyFont="1" applyFill="1" applyBorder="1" applyAlignment="1">
      <alignment horizontal="left" vertical="center" wrapText="1"/>
    </xf>
    <xf numFmtId="0" fontId="3" fillId="5" borderId="0" xfId="0" applyFont="1" applyFill="1" applyBorder="1" applyAlignment="1">
      <alignment horizontal="center" vertical="center" wrapText="1"/>
    </xf>
    <xf numFmtId="0" fontId="0" fillId="5" borderId="0" xfId="0" applyFill="1" applyBorder="1" applyAlignment="1">
      <alignment horizontal="center" vertical="center"/>
    </xf>
    <xf numFmtId="0" fontId="14" fillId="5" borderId="97" xfId="0" applyFont="1" applyFill="1" applyBorder="1" applyAlignment="1">
      <alignment horizontal="left" vertical="center" wrapText="1"/>
    </xf>
    <xf numFmtId="0" fontId="14" fillId="5" borderId="35" xfId="0" applyFont="1" applyFill="1" applyBorder="1" applyAlignment="1">
      <alignment horizontal="left" vertical="center" wrapText="1"/>
    </xf>
    <xf numFmtId="0" fontId="5" fillId="0" borderId="17" xfId="0" applyFont="1" applyBorder="1" applyAlignment="1">
      <alignment horizontal="center" vertical="center"/>
    </xf>
    <xf numFmtId="0" fontId="0" fillId="0" borderId="17" xfId="0" applyBorder="1" applyAlignment="1">
      <alignment horizontal="center" vertical="center"/>
    </xf>
    <xf numFmtId="0" fontId="0" fillId="0" borderId="72" xfId="0" applyBorder="1" applyAlignment="1">
      <alignment horizontal="center" vertical="center"/>
    </xf>
    <xf numFmtId="0" fontId="7" fillId="0" borderId="3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07" xfId="0" applyFont="1" applyBorder="1" applyAlignment="1">
      <alignment horizontal="center" vertical="center" wrapText="1"/>
    </xf>
    <xf numFmtId="0" fontId="23" fillId="6" borderId="0" xfId="0" applyFont="1" applyFill="1" applyAlignment="1">
      <alignment horizontal="left"/>
    </xf>
    <xf numFmtId="0" fontId="4" fillId="0" borderId="0" xfId="0" applyFont="1" applyFill="1" applyBorder="1" applyAlignment="1">
      <alignment horizontal="center" vertical="center" wrapText="1"/>
    </xf>
    <xf numFmtId="0" fontId="3"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vertical="center"/>
    </xf>
    <xf numFmtId="0" fontId="5" fillId="0" borderId="0" xfId="0" applyFont="1" applyFill="1" applyAlignment="1">
      <alignment horizontal="center"/>
    </xf>
    <xf numFmtId="0" fontId="6" fillId="0" borderId="0" xfId="0" applyFont="1" applyFill="1" applyAlignment="1">
      <alignment horizontal="left" wrapText="1"/>
    </xf>
    <xf numFmtId="0" fontId="0" fillId="0" borderId="0" xfId="0" applyBorder="1" applyAlignment="1">
      <alignment horizontal="center" vertical="center"/>
    </xf>
    <xf numFmtId="0" fontId="7" fillId="0" borderId="5"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67" xfId="0" applyFont="1" applyBorder="1" applyAlignment="1">
      <alignment horizontal="center" vertical="center" wrapText="1"/>
    </xf>
    <xf numFmtId="49" fontId="7" fillId="0" borderId="47" xfId="0" applyNumberFormat="1" applyFont="1" applyFill="1" applyBorder="1" applyAlignment="1">
      <alignment horizontal="center" vertical="center" wrapText="1"/>
    </xf>
    <xf numFmtId="49" fontId="8" fillId="0" borderId="108" xfId="0" applyNumberFormat="1" applyFont="1" applyFill="1" applyBorder="1" applyAlignment="1">
      <alignment vertical="center"/>
    </xf>
    <xf numFmtId="0" fontId="5" fillId="7" borderId="65"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55" xfId="0" applyFont="1" applyFill="1" applyBorder="1" applyAlignment="1">
      <alignment horizontal="left" vertical="center" wrapText="1"/>
    </xf>
    <xf numFmtId="42" fontId="7" fillId="0" borderId="70" xfId="0" applyNumberFormat="1" applyFont="1" applyBorder="1" applyAlignment="1">
      <alignment horizontal="center" vertical="center" wrapText="1"/>
    </xf>
    <xf numFmtId="42" fontId="7" fillId="0" borderId="77" xfId="0" applyNumberFormat="1" applyFont="1" applyBorder="1" applyAlignment="1">
      <alignment horizontal="center" vertical="center" wrapText="1"/>
    </xf>
    <xf numFmtId="0" fontId="29" fillId="11" borderId="70" xfId="0" applyFont="1" applyFill="1" applyBorder="1" applyAlignment="1">
      <alignment horizontal="center" vertical="center" wrapText="1"/>
    </xf>
    <xf numFmtId="0" fontId="27" fillId="11" borderId="77" xfId="0" applyFont="1" applyFill="1" applyBorder="1" applyAlignment="1">
      <alignment vertical="center"/>
    </xf>
    <xf numFmtId="0" fontId="5" fillId="7" borderId="65" xfId="0" applyFont="1" applyFill="1" applyBorder="1" applyAlignment="1">
      <alignment horizontal="left" vertical="center"/>
    </xf>
    <xf numFmtId="0" fontId="5" fillId="7" borderId="1" xfId="0" applyFont="1" applyFill="1" applyBorder="1" applyAlignment="1">
      <alignment horizontal="left" vertical="center"/>
    </xf>
    <xf numFmtId="0" fontId="5" fillId="7" borderId="55" xfId="0" applyFont="1" applyFill="1" applyBorder="1" applyAlignment="1">
      <alignment horizontal="left" vertical="center"/>
    </xf>
    <xf numFmtId="0" fontId="5" fillId="0" borderId="70" xfId="0" applyFont="1" applyBorder="1" applyAlignment="1">
      <alignment horizontal="center" vertical="center" wrapText="1"/>
    </xf>
    <xf numFmtId="0" fontId="0" fillId="0" borderId="77" xfId="0" applyBorder="1" applyAlignment="1">
      <alignment vertical="center"/>
    </xf>
    <xf numFmtId="0" fontId="28" fillId="11" borderId="72" xfId="0" applyFont="1" applyFill="1" applyBorder="1" applyAlignment="1">
      <alignment horizontal="center"/>
    </xf>
    <xf numFmtId="0" fontId="7" fillId="0" borderId="6" xfId="0" applyFont="1" applyBorder="1" applyAlignment="1">
      <alignment horizontal="center" vertical="center" wrapText="1"/>
    </xf>
    <xf numFmtId="0" fontId="5" fillId="0" borderId="71" xfId="0" applyFont="1" applyBorder="1" applyAlignment="1">
      <alignment horizontal="center" vertical="center" wrapText="1"/>
    </xf>
    <xf numFmtId="0" fontId="29" fillId="11" borderId="72" xfId="0" applyFont="1" applyFill="1" applyBorder="1" applyAlignment="1">
      <alignment horizontal="center"/>
    </xf>
    <xf numFmtId="0" fontId="6" fillId="0" borderId="0" xfId="0" applyFont="1" applyAlignment="1">
      <alignment wrapText="1"/>
    </xf>
    <xf numFmtId="0" fontId="4" fillId="0" borderId="70" xfId="0" applyFont="1" applyBorder="1" applyAlignment="1">
      <alignment horizontal="center" vertical="center" wrapText="1"/>
    </xf>
    <xf numFmtId="0" fontId="3" fillId="0" borderId="77" xfId="0" applyFont="1" applyBorder="1" applyAlignment="1">
      <alignment vertical="center"/>
    </xf>
    <xf numFmtId="0" fontId="4" fillId="0" borderId="47" xfId="0" applyFont="1" applyBorder="1" applyAlignment="1">
      <alignment horizontal="center" vertical="center" wrapText="1"/>
    </xf>
    <xf numFmtId="0" fontId="3" fillId="0" borderId="108" xfId="0" applyFont="1" applyBorder="1" applyAlignment="1">
      <alignment vertical="center"/>
    </xf>
  </cellXfs>
  <cellStyles count="8">
    <cellStyle name="Comma" xfId="3" builtinId="3"/>
    <cellStyle name="Currency" xfId="1" builtinId="4"/>
    <cellStyle name="Currency 2 2" xfId="7"/>
    <cellStyle name="Hyperlink" xfId="2" builtinId="8"/>
    <cellStyle name="Normal" xfId="0" builtinId="0"/>
    <cellStyle name="Normal 2" xfId="5"/>
    <cellStyle name="Normal 4 2" xfId="6"/>
    <cellStyle name="Percent" xfId="4" builtinId="5"/>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695884</xdr:colOff>
      <xdr:row>0</xdr:row>
      <xdr:rowOff>63874</xdr:rowOff>
    </xdr:from>
    <xdr:to>
      <xdr:col>14</xdr:col>
      <xdr:colOff>896470</xdr:colOff>
      <xdr:row>0</xdr:row>
      <xdr:rowOff>692524</xdr:rowOff>
    </xdr:to>
    <xdr:sp macro="" textlink="">
      <xdr:nvSpPr>
        <xdr:cNvPr id="2" name="TextBox 1"/>
        <xdr:cNvSpPr txBox="1"/>
      </xdr:nvSpPr>
      <xdr:spPr>
        <a:xfrm>
          <a:off x="3116355" y="63874"/>
          <a:ext cx="673361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000" b="1" u="sng">
              <a:solidFill>
                <a:schemeClr val="tx2">
                  <a:lumMod val="50000"/>
                </a:schemeClr>
              </a:solidFill>
            </a:rPr>
            <a:t>Fall 2018</a:t>
          </a:r>
          <a:r>
            <a:rPr lang="en-US" sz="2000" b="1" u="sng" baseline="0">
              <a:solidFill>
                <a:schemeClr val="tx2">
                  <a:lumMod val="50000"/>
                </a:schemeClr>
              </a:solidFill>
            </a:rPr>
            <a:t> </a:t>
          </a:r>
          <a:r>
            <a:rPr lang="en-US" sz="2000" b="1" u="sng">
              <a:solidFill>
                <a:schemeClr val="tx2">
                  <a:lumMod val="50000"/>
                </a:schemeClr>
              </a:solidFill>
            </a:rPr>
            <a:t>CHARTER</a:t>
          </a:r>
          <a:r>
            <a:rPr lang="en-US" sz="2000" b="1" u="sng" baseline="0">
              <a:solidFill>
                <a:schemeClr val="tx2">
                  <a:lumMod val="50000"/>
                </a:schemeClr>
              </a:solidFill>
            </a:rPr>
            <a:t> APPLICATION: FINANCES TEMPLATE</a:t>
          </a:r>
          <a:endParaRPr lang="en-US" sz="2000" b="1" u="none" baseline="0">
            <a:solidFill>
              <a:schemeClr val="tx2">
                <a:lumMod val="50000"/>
              </a:schemeClr>
            </a:solidFill>
          </a:endParaRPr>
        </a:p>
      </xdr:txBody>
    </xdr:sp>
    <xdr:clientData/>
  </xdr:twoCellAnchor>
  <xdr:twoCellAnchor editAs="oneCell">
    <xdr:from>
      <xdr:col>2</xdr:col>
      <xdr:colOff>66675</xdr:colOff>
      <xdr:row>0</xdr:row>
      <xdr:rowOff>66675</xdr:rowOff>
    </xdr:from>
    <xdr:to>
      <xdr:col>4</xdr:col>
      <xdr:colOff>28575</xdr:colOff>
      <xdr:row>2</xdr:row>
      <xdr:rowOff>66675</xdr:rowOff>
    </xdr:to>
    <xdr:pic>
      <xdr:nvPicPr>
        <xdr:cNvPr id="718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66675"/>
          <a:ext cx="11811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louisianabelieves.com/docs/school-choice/guide---laugh-guide.pdf?sfvrsn=2"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www.louisianabelieves.com/docs/default-source/school-choice/revenue-projection-model-for-2015-state-authorized-charter-applicants.xlsx?sfvrsn=2"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Q36"/>
  <sheetViews>
    <sheetView zoomScale="85" zoomScaleNormal="85" workbookViewId="0"/>
  </sheetViews>
  <sheetFormatPr defaultRowHeight="12.75" x14ac:dyDescent="0.2"/>
  <cols>
    <col min="5" max="5" width="11.7109375" customWidth="1"/>
    <col min="6" max="6" width="12.5703125" bestFit="1" customWidth="1"/>
    <col min="10" max="10" width="10.7109375" customWidth="1"/>
    <col min="12" max="12" width="5.140625" customWidth="1"/>
    <col min="14" max="14" width="12.28515625" customWidth="1"/>
    <col min="15" max="16" width="13.85546875" customWidth="1"/>
    <col min="17" max="17" width="5.42578125" customWidth="1"/>
  </cols>
  <sheetData>
    <row r="1" spans="2:17" ht="68.25" customHeight="1" x14ac:dyDescent="0.2"/>
    <row r="2" spans="2:17" ht="25.5" x14ac:dyDescent="0.35">
      <c r="B2" s="620" t="s">
        <v>374</v>
      </c>
      <c r="C2" s="620"/>
      <c r="D2" s="620"/>
      <c r="E2" s="620"/>
      <c r="F2" s="620"/>
      <c r="G2" s="620"/>
      <c r="H2" s="620"/>
      <c r="I2" s="620"/>
      <c r="J2" s="620"/>
      <c r="K2" s="620"/>
      <c r="L2" s="620"/>
      <c r="M2" s="620"/>
      <c r="N2" s="620"/>
      <c r="O2" s="620"/>
      <c r="P2" s="620"/>
      <c r="Q2" s="620"/>
    </row>
    <row r="3" spans="2:17" ht="13.5" thickBot="1" x14ac:dyDescent="0.25"/>
    <row r="4" spans="2:17" ht="33" customHeight="1" x14ac:dyDescent="0.2">
      <c r="B4" s="621" t="s">
        <v>360</v>
      </c>
      <c r="C4" s="622"/>
      <c r="D4" s="622"/>
      <c r="E4" s="622"/>
      <c r="F4" s="622"/>
      <c r="G4" s="622"/>
      <c r="H4" s="622"/>
      <c r="I4" s="622"/>
      <c r="J4" s="622"/>
      <c r="K4" s="622"/>
      <c r="L4" s="622"/>
      <c r="M4" s="622"/>
      <c r="N4" s="622"/>
      <c r="O4" s="622"/>
      <c r="P4" s="622"/>
      <c r="Q4" s="623"/>
    </row>
    <row r="5" spans="2:17" ht="15.75" thickBot="1" x14ac:dyDescent="0.25">
      <c r="B5" s="348"/>
      <c r="C5" s="349"/>
      <c r="D5" s="349"/>
      <c r="E5" s="349"/>
      <c r="F5" s="349"/>
      <c r="G5" s="349"/>
      <c r="H5" s="349"/>
      <c r="I5" s="349"/>
      <c r="J5" s="349"/>
      <c r="K5" s="349"/>
      <c r="L5" s="349"/>
      <c r="M5" s="349"/>
      <c r="N5" s="349"/>
      <c r="O5" s="349"/>
      <c r="P5" s="349"/>
      <c r="Q5" s="331"/>
    </row>
    <row r="6" spans="2:17" ht="22.5" customHeight="1" x14ac:dyDescent="0.2">
      <c r="B6" s="343"/>
      <c r="C6" s="624" t="s">
        <v>373</v>
      </c>
      <c r="D6" s="624"/>
      <c r="E6" s="624"/>
      <c r="F6" s="624"/>
      <c r="G6" s="624"/>
      <c r="H6" s="624"/>
      <c r="I6" s="624"/>
      <c r="J6" s="624"/>
      <c r="K6" s="624"/>
      <c r="L6" s="624"/>
      <c r="M6" s="624"/>
      <c r="N6" s="624"/>
      <c r="O6" s="624"/>
      <c r="P6" s="624"/>
      <c r="Q6" s="345"/>
    </row>
    <row r="7" spans="2:17" ht="24" customHeight="1" x14ac:dyDescent="0.2">
      <c r="B7" s="625"/>
      <c r="C7" s="626"/>
      <c r="D7" s="626"/>
      <c r="E7" s="626"/>
      <c r="F7" s="626"/>
      <c r="G7" s="626"/>
      <c r="H7" s="626"/>
      <c r="I7" s="626"/>
      <c r="J7" s="626"/>
      <c r="K7" s="626"/>
      <c r="L7" s="626"/>
      <c r="M7" s="626"/>
      <c r="N7" s="626"/>
      <c r="O7" s="626"/>
      <c r="P7" s="626"/>
      <c r="Q7" s="331"/>
    </row>
    <row r="8" spans="2:17" ht="14.25" customHeight="1" x14ac:dyDescent="0.2">
      <c r="B8" s="633" t="s">
        <v>378</v>
      </c>
      <c r="C8" s="634"/>
      <c r="D8" s="634"/>
      <c r="E8" s="634"/>
      <c r="F8" s="634"/>
      <c r="G8" s="634"/>
      <c r="H8" s="634"/>
      <c r="I8" s="634"/>
      <c r="J8" s="634"/>
      <c r="K8" s="634"/>
      <c r="L8" s="341"/>
      <c r="M8" s="632" t="s">
        <v>371</v>
      </c>
      <c r="N8" s="632"/>
      <c r="O8" s="342">
        <v>7500</v>
      </c>
      <c r="P8" s="341"/>
      <c r="Q8" s="331"/>
    </row>
    <row r="9" spans="2:17" ht="14.25" customHeight="1" x14ac:dyDescent="0.2">
      <c r="B9" s="633"/>
      <c r="C9" s="634"/>
      <c r="D9" s="634"/>
      <c r="E9" s="634"/>
      <c r="F9" s="634"/>
      <c r="G9" s="634"/>
      <c r="H9" s="634"/>
      <c r="I9" s="634"/>
      <c r="J9" s="634"/>
      <c r="K9" s="634"/>
      <c r="L9" s="349"/>
      <c r="M9" s="632" t="s">
        <v>372</v>
      </c>
      <c r="N9" s="632"/>
      <c r="O9" s="342">
        <v>7800</v>
      </c>
      <c r="P9" s="349"/>
      <c r="Q9" s="331"/>
    </row>
    <row r="10" spans="2:17" ht="14.25" customHeight="1" x14ac:dyDescent="0.2">
      <c r="B10" s="633"/>
      <c r="C10" s="634"/>
      <c r="D10" s="634"/>
      <c r="E10" s="634"/>
      <c r="F10" s="634"/>
      <c r="G10" s="634"/>
      <c r="H10" s="634"/>
      <c r="I10" s="634"/>
      <c r="J10" s="634"/>
      <c r="K10" s="634"/>
      <c r="L10" s="349"/>
      <c r="M10" s="632" t="s">
        <v>363</v>
      </c>
      <c r="N10" s="632"/>
      <c r="O10" s="342">
        <v>1500</v>
      </c>
      <c r="P10" s="349"/>
      <c r="Q10" s="331"/>
    </row>
    <row r="11" spans="2:17" ht="14.25" customHeight="1" x14ac:dyDescent="0.2">
      <c r="B11" s="633"/>
      <c r="C11" s="634"/>
      <c r="D11" s="634"/>
      <c r="E11" s="634"/>
      <c r="F11" s="634"/>
      <c r="G11" s="634"/>
      <c r="H11" s="634"/>
      <c r="I11" s="634"/>
      <c r="J11" s="634"/>
      <c r="K11" s="634"/>
      <c r="L11" s="349"/>
      <c r="M11" s="632" t="s">
        <v>364</v>
      </c>
      <c r="N11" s="632"/>
      <c r="O11" s="342">
        <v>8800</v>
      </c>
      <c r="P11" s="349"/>
      <c r="Q11" s="331"/>
    </row>
    <row r="12" spans="2:17" ht="14.25" customHeight="1" x14ac:dyDescent="0.2">
      <c r="B12" s="633"/>
      <c r="C12" s="634"/>
      <c r="D12" s="634"/>
      <c r="E12" s="634"/>
      <c r="F12" s="634"/>
      <c r="G12" s="634"/>
      <c r="H12" s="634"/>
      <c r="I12" s="634"/>
      <c r="J12" s="634"/>
      <c r="K12" s="634"/>
      <c r="L12" s="349"/>
      <c r="M12" s="632" t="s">
        <v>365</v>
      </c>
      <c r="N12" s="632"/>
      <c r="O12" s="342">
        <v>14000</v>
      </c>
      <c r="P12" s="349"/>
      <c r="Q12" s="331"/>
    </row>
    <row r="13" spans="2:17" ht="14.25" customHeight="1" x14ac:dyDescent="0.2">
      <c r="B13" s="633"/>
      <c r="C13" s="634"/>
      <c r="D13" s="634"/>
      <c r="E13" s="634"/>
      <c r="F13" s="634"/>
      <c r="G13" s="634"/>
      <c r="H13" s="634"/>
      <c r="I13" s="634"/>
      <c r="J13" s="634"/>
      <c r="K13" s="634"/>
      <c r="L13" s="349"/>
      <c r="M13" s="632" t="s">
        <v>366</v>
      </c>
      <c r="N13" s="632"/>
      <c r="O13" s="342">
        <v>16200</v>
      </c>
      <c r="P13" s="349"/>
      <c r="Q13" s="331"/>
    </row>
    <row r="14" spans="2:17" ht="14.25" customHeight="1" x14ac:dyDescent="0.2">
      <c r="B14" s="633"/>
      <c r="C14" s="634"/>
      <c r="D14" s="634"/>
      <c r="E14" s="634"/>
      <c r="F14" s="634"/>
      <c r="G14" s="634"/>
      <c r="H14" s="634"/>
      <c r="I14" s="634"/>
      <c r="J14" s="634"/>
      <c r="K14" s="634"/>
      <c r="L14" s="349"/>
      <c r="M14" s="629" t="s">
        <v>367</v>
      </c>
      <c r="N14" s="629"/>
      <c r="O14" s="342">
        <v>22400</v>
      </c>
      <c r="P14" s="349"/>
      <c r="Q14" s="331"/>
    </row>
    <row r="15" spans="2:17" ht="14.25" customHeight="1" x14ac:dyDescent="0.2">
      <c r="B15" s="633"/>
      <c r="C15" s="634"/>
      <c r="D15" s="634"/>
      <c r="E15" s="634"/>
      <c r="F15" s="634"/>
      <c r="G15" s="634"/>
      <c r="H15" s="634"/>
      <c r="I15" s="634"/>
      <c r="J15" s="634"/>
      <c r="K15" s="634"/>
      <c r="L15" s="349"/>
      <c r="M15" s="629" t="s">
        <v>368</v>
      </c>
      <c r="N15" s="629"/>
      <c r="O15" s="342">
        <v>375</v>
      </c>
      <c r="P15" s="349"/>
      <c r="Q15" s="331"/>
    </row>
    <row r="16" spans="2:17" ht="14.25" customHeight="1" x14ac:dyDescent="0.2">
      <c r="B16" s="633"/>
      <c r="C16" s="634"/>
      <c r="D16" s="634"/>
      <c r="E16" s="634"/>
      <c r="F16" s="634"/>
      <c r="G16" s="634"/>
      <c r="H16" s="634"/>
      <c r="I16" s="634"/>
      <c r="J16" s="634"/>
      <c r="K16" s="634"/>
      <c r="L16" s="349"/>
      <c r="M16" s="629" t="s">
        <v>369</v>
      </c>
      <c r="N16" s="629"/>
      <c r="O16" s="342">
        <v>2200</v>
      </c>
      <c r="P16" s="349"/>
      <c r="Q16" s="331"/>
    </row>
    <row r="17" spans="2:17" ht="14.25" customHeight="1" x14ac:dyDescent="0.2">
      <c r="B17" s="633"/>
      <c r="C17" s="634"/>
      <c r="D17" s="634"/>
      <c r="E17" s="634"/>
      <c r="F17" s="634"/>
      <c r="G17" s="634"/>
      <c r="H17" s="634"/>
      <c r="I17" s="634"/>
      <c r="J17" s="634"/>
      <c r="K17" s="634"/>
      <c r="L17" s="349"/>
      <c r="M17" s="629" t="s">
        <v>370</v>
      </c>
      <c r="N17" s="629"/>
      <c r="O17" s="342">
        <v>1700</v>
      </c>
      <c r="P17" s="349"/>
      <c r="Q17" s="331"/>
    </row>
    <row r="18" spans="2:17" ht="15.75" customHeight="1" thickBot="1" x14ac:dyDescent="0.25">
      <c r="B18" s="346"/>
      <c r="C18" s="344"/>
      <c r="D18" s="344"/>
      <c r="E18" s="344"/>
      <c r="F18" s="344"/>
      <c r="G18" s="344"/>
      <c r="H18" s="344"/>
      <c r="I18" s="344"/>
      <c r="J18" s="344"/>
      <c r="K18" s="344"/>
      <c r="L18" s="344"/>
      <c r="M18" s="344"/>
      <c r="N18" s="344"/>
      <c r="O18" s="344"/>
      <c r="P18" s="344"/>
      <c r="Q18" s="347"/>
    </row>
    <row r="19" spans="2:17" ht="96" customHeight="1" thickBot="1" x14ac:dyDescent="0.25">
      <c r="B19" s="635" t="s">
        <v>377</v>
      </c>
      <c r="C19" s="636"/>
      <c r="D19" s="636"/>
      <c r="E19" s="636"/>
      <c r="F19" s="636"/>
      <c r="G19" s="637" t="s">
        <v>375</v>
      </c>
      <c r="H19" s="638"/>
      <c r="I19" s="638"/>
      <c r="J19" s="638"/>
      <c r="K19" s="638"/>
      <c r="L19" s="637" t="s">
        <v>376</v>
      </c>
      <c r="M19" s="638"/>
      <c r="N19" s="638"/>
      <c r="O19" s="638"/>
      <c r="P19" s="349"/>
      <c r="Q19" s="331"/>
    </row>
    <row r="20" spans="2:17" ht="25.5" customHeight="1" x14ac:dyDescent="0.2">
      <c r="B20" s="630" t="s">
        <v>353</v>
      </c>
      <c r="C20" s="631"/>
      <c r="D20" s="631"/>
      <c r="E20" s="631"/>
      <c r="F20" s="631"/>
      <c r="G20" s="631"/>
      <c r="H20" s="631"/>
      <c r="I20" s="631"/>
      <c r="J20" s="631"/>
      <c r="K20" s="631"/>
      <c r="L20" s="631"/>
      <c r="M20" s="631"/>
      <c r="N20" s="631"/>
      <c r="O20" s="631"/>
      <c r="P20" s="631"/>
      <c r="Q20" s="345"/>
    </row>
    <row r="21" spans="2:17" ht="15" x14ac:dyDescent="0.2">
      <c r="B21" s="627" t="s">
        <v>354</v>
      </c>
      <c r="C21" s="628"/>
      <c r="D21" s="628"/>
      <c r="E21" s="628"/>
      <c r="F21" s="628"/>
      <c r="G21" s="628"/>
      <c r="H21" s="628"/>
      <c r="I21" s="628"/>
      <c r="J21" s="628"/>
      <c r="K21" s="332" t="s">
        <v>351</v>
      </c>
      <c r="L21" s="349"/>
      <c r="M21" s="349"/>
      <c r="N21" s="349"/>
      <c r="O21" s="349"/>
      <c r="P21" s="349"/>
      <c r="Q21" s="331"/>
    </row>
    <row r="22" spans="2:17" ht="15" x14ac:dyDescent="0.2">
      <c r="B22" s="350" t="s">
        <v>355</v>
      </c>
      <c r="C22" s="351"/>
      <c r="D22" s="351"/>
      <c r="E22" s="351"/>
      <c r="F22" s="351"/>
      <c r="G22" s="351"/>
      <c r="H22" s="351"/>
      <c r="I22" s="351"/>
      <c r="J22" s="351"/>
      <c r="K22" s="332"/>
      <c r="L22" s="349"/>
      <c r="M22" s="332" t="s">
        <v>351</v>
      </c>
      <c r="N22" s="349"/>
      <c r="O22" s="349"/>
      <c r="P22" s="349"/>
      <c r="Q22" s="331"/>
    </row>
    <row r="23" spans="2:17" ht="43.5" customHeight="1" x14ac:dyDescent="0.2">
      <c r="B23" s="625" t="s">
        <v>379</v>
      </c>
      <c r="C23" s="626"/>
      <c r="D23" s="626"/>
      <c r="E23" s="626"/>
      <c r="F23" s="626"/>
      <c r="G23" s="626"/>
      <c r="H23" s="626"/>
      <c r="I23" s="626"/>
      <c r="J23" s="626"/>
      <c r="K23" s="626"/>
      <c r="L23" s="626"/>
      <c r="M23" s="626"/>
      <c r="N23" s="626"/>
      <c r="O23" s="626"/>
      <c r="P23" s="626"/>
      <c r="Q23" s="331"/>
    </row>
    <row r="24" spans="2:17" ht="42.75" customHeight="1" x14ac:dyDescent="0.2">
      <c r="B24" s="625" t="s">
        <v>380</v>
      </c>
      <c r="C24" s="626"/>
      <c r="D24" s="626"/>
      <c r="E24" s="626"/>
      <c r="F24" s="626"/>
      <c r="G24" s="626"/>
      <c r="H24" s="626"/>
      <c r="I24" s="626"/>
      <c r="J24" s="626"/>
      <c r="K24" s="626"/>
      <c r="L24" s="626"/>
      <c r="M24" s="626"/>
      <c r="N24" s="626"/>
      <c r="O24" s="626"/>
      <c r="P24" s="626"/>
      <c r="Q24" s="331"/>
    </row>
    <row r="25" spans="2:17" ht="68.25" customHeight="1" x14ac:dyDescent="0.2">
      <c r="B25" s="625" t="s">
        <v>381</v>
      </c>
      <c r="C25" s="626"/>
      <c r="D25" s="626"/>
      <c r="E25" s="626"/>
      <c r="F25" s="626"/>
      <c r="G25" s="626"/>
      <c r="H25" s="626"/>
      <c r="I25" s="626"/>
      <c r="J25" s="626"/>
      <c r="K25" s="626"/>
      <c r="L25" s="626"/>
      <c r="M25" s="626"/>
      <c r="N25" s="626"/>
      <c r="O25" s="626"/>
      <c r="P25" s="626"/>
      <c r="Q25" s="331"/>
    </row>
    <row r="26" spans="2:17" ht="43.5" customHeight="1" x14ac:dyDescent="0.2">
      <c r="B26" s="625" t="s">
        <v>382</v>
      </c>
      <c r="C26" s="626"/>
      <c r="D26" s="626"/>
      <c r="E26" s="626"/>
      <c r="F26" s="626"/>
      <c r="G26" s="626"/>
      <c r="H26" s="626"/>
      <c r="I26" s="626"/>
      <c r="J26" s="626"/>
      <c r="K26" s="626"/>
      <c r="L26" s="626"/>
      <c r="M26" s="626"/>
      <c r="N26" s="626"/>
      <c r="O26" s="626"/>
      <c r="P26" s="626"/>
      <c r="Q26" s="331"/>
    </row>
    <row r="27" spans="2:17" ht="31.5" customHeight="1" thickBot="1" x14ac:dyDescent="0.25">
      <c r="B27" s="639" t="s">
        <v>352</v>
      </c>
      <c r="C27" s="640"/>
      <c r="D27" s="640"/>
      <c r="E27" s="640"/>
      <c r="F27" s="640"/>
      <c r="G27" s="640"/>
      <c r="H27" s="640"/>
      <c r="I27" s="640"/>
      <c r="J27" s="640"/>
      <c r="K27" s="640"/>
      <c r="L27" s="640"/>
      <c r="M27" s="640"/>
      <c r="N27" s="640"/>
      <c r="O27" s="640"/>
      <c r="P27" s="640"/>
      <c r="Q27" s="333"/>
    </row>
    <row r="28" spans="2:17" x14ac:dyDescent="0.2">
      <c r="B28" s="329"/>
    </row>
    <row r="29" spans="2:17" x14ac:dyDescent="0.2">
      <c r="B29" s="329"/>
    </row>
    <row r="30" spans="2:17" x14ac:dyDescent="0.2">
      <c r="B30" s="329"/>
    </row>
    <row r="31" spans="2:17" x14ac:dyDescent="0.2">
      <c r="B31" s="329"/>
    </row>
    <row r="32" spans="2:17" x14ac:dyDescent="0.2">
      <c r="B32" s="329"/>
    </row>
    <row r="33" spans="2:2" x14ac:dyDescent="0.2">
      <c r="B33" s="329"/>
    </row>
    <row r="34" spans="2:2" x14ac:dyDescent="0.2">
      <c r="B34" s="329"/>
    </row>
    <row r="35" spans="2:2" x14ac:dyDescent="0.2">
      <c r="B35" s="329"/>
    </row>
    <row r="36" spans="2:2" x14ac:dyDescent="0.2">
      <c r="B36" s="329"/>
    </row>
  </sheetData>
  <customSheetViews>
    <customSheetView guid="{FF09F429-7712-42C4-8E8D-F960CD33567E}" scale="85" fitToPage="1">
      <selection activeCell="V4" sqref="V4"/>
      <pageMargins left="0.7" right="0.7" top="0.75" bottom="0.75" header="0.3" footer="0.3"/>
      <pageSetup scale="60" orientation="landscape" r:id="rId1"/>
    </customSheetView>
    <customSheetView guid="{40BC2F83-0811-4ECE-99F8-980F9280326A}" scale="85" fitToPage="1">
      <selection activeCell="V4" sqref="V4"/>
      <pageMargins left="0.7" right="0.7" top="0.75" bottom="0.75" header="0.3" footer="0.3"/>
      <pageSetup scale="60" orientation="landscape" r:id="rId2"/>
    </customSheetView>
  </customSheetViews>
  <mergeCells count="25">
    <mergeCell ref="M10:N10"/>
    <mergeCell ref="M11:N11"/>
    <mergeCell ref="M12:N12"/>
    <mergeCell ref="M13:N13"/>
    <mergeCell ref="B27:P27"/>
    <mergeCell ref="B26:P26"/>
    <mergeCell ref="B25:P25"/>
    <mergeCell ref="B23:P23"/>
    <mergeCell ref="L19:O19"/>
    <mergeCell ref="B2:Q2"/>
    <mergeCell ref="B4:Q4"/>
    <mergeCell ref="C6:P6"/>
    <mergeCell ref="B24:P24"/>
    <mergeCell ref="B21:J21"/>
    <mergeCell ref="M14:N14"/>
    <mergeCell ref="M15:N15"/>
    <mergeCell ref="B20:P20"/>
    <mergeCell ref="B7:P7"/>
    <mergeCell ref="M8:N8"/>
    <mergeCell ref="M16:N16"/>
    <mergeCell ref="M17:N17"/>
    <mergeCell ref="B8:K17"/>
    <mergeCell ref="B19:F19"/>
    <mergeCell ref="M9:N9"/>
    <mergeCell ref="G19:K19"/>
  </mergeCells>
  <hyperlinks>
    <hyperlink ref="K21" r:id="rId3"/>
    <hyperlink ref="M22" r:id="rId4"/>
  </hyperlinks>
  <pageMargins left="0.7" right="0.7" top="0.75" bottom="0.75" header="0.3" footer="0.3"/>
  <pageSetup scale="6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52"/>
  <sheetViews>
    <sheetView zoomScale="75" zoomScaleNormal="75" workbookViewId="0"/>
  </sheetViews>
  <sheetFormatPr defaultRowHeight="12.75" x14ac:dyDescent="0.2"/>
  <cols>
    <col min="1" max="1" width="4.140625" customWidth="1"/>
    <col min="2" max="2" width="4.42578125" customWidth="1"/>
    <col min="6" max="6" width="19.5703125" customWidth="1"/>
    <col min="7" max="7" width="0.42578125" customWidth="1"/>
    <col min="8" max="8" width="45.28515625" customWidth="1"/>
  </cols>
  <sheetData>
    <row r="1" spans="1:8" ht="15" x14ac:dyDescent="0.25">
      <c r="A1" s="336" t="s">
        <v>356</v>
      </c>
      <c r="B1" s="337"/>
      <c r="C1" s="337"/>
      <c r="D1" s="648" t="s">
        <v>462</v>
      </c>
      <c r="E1" s="648"/>
      <c r="F1" s="648"/>
      <c r="G1" s="648"/>
      <c r="H1" s="6"/>
    </row>
    <row r="2" spans="1:8" ht="30.75" customHeight="1" x14ac:dyDescent="0.25">
      <c r="A2" s="9" t="s">
        <v>512</v>
      </c>
      <c r="B2" s="22"/>
      <c r="C2" s="22"/>
      <c r="D2" s="6"/>
      <c r="E2" s="6"/>
      <c r="F2" s="6"/>
      <c r="G2" s="6"/>
      <c r="H2" s="6"/>
    </row>
    <row r="3" spans="1:8" ht="15.75" thickBot="1" x14ac:dyDescent="0.3">
      <c r="A3" s="28"/>
      <c r="B3" s="22"/>
      <c r="C3" s="22"/>
      <c r="D3" s="6"/>
      <c r="E3" s="6"/>
      <c r="F3" s="6"/>
      <c r="G3" s="6"/>
      <c r="H3" s="6"/>
    </row>
    <row r="4" spans="1:8" ht="13.5" customHeight="1" thickTop="1" x14ac:dyDescent="0.2">
      <c r="A4" s="181"/>
      <c r="B4" s="641" t="s">
        <v>239</v>
      </c>
      <c r="C4" s="642"/>
      <c r="D4" s="642"/>
      <c r="E4" s="154"/>
      <c r="F4" s="644" t="s">
        <v>314</v>
      </c>
      <c r="G4" s="182"/>
      <c r="H4" s="646" t="s">
        <v>315</v>
      </c>
    </row>
    <row r="5" spans="1:8" ht="13.5" thickBot="1" x14ac:dyDescent="0.25">
      <c r="A5" s="183"/>
      <c r="B5" s="643"/>
      <c r="C5" s="643"/>
      <c r="D5" s="643"/>
      <c r="E5" s="184"/>
      <c r="F5" s="645"/>
      <c r="G5" s="185"/>
      <c r="H5" s="647"/>
    </row>
    <row r="6" spans="1:8" ht="15.75" thickTop="1" x14ac:dyDescent="0.25">
      <c r="A6" s="34"/>
      <c r="B6" s="133" t="s">
        <v>316</v>
      </c>
      <c r="C6" s="25"/>
      <c r="D6" s="25"/>
      <c r="E6" s="25"/>
      <c r="F6" s="186"/>
      <c r="G6" s="187"/>
      <c r="H6" s="188"/>
    </row>
    <row r="7" spans="1:8" ht="14.25" x14ac:dyDescent="0.2">
      <c r="A7" s="211">
        <v>1</v>
      </c>
      <c r="B7" s="37"/>
      <c r="C7" s="10" t="s">
        <v>317</v>
      </c>
      <c r="D7" s="10"/>
      <c r="E7" s="10"/>
      <c r="F7" s="189"/>
      <c r="G7" s="190"/>
      <c r="H7" s="20"/>
    </row>
    <row r="8" spans="1:8" ht="14.25" x14ac:dyDescent="0.2">
      <c r="A8" s="211">
        <v>2</v>
      </c>
      <c r="B8" s="37"/>
      <c r="C8" s="10" t="s">
        <v>318</v>
      </c>
      <c r="D8" s="10"/>
      <c r="E8" s="10"/>
      <c r="F8" s="189"/>
      <c r="G8" s="190"/>
      <c r="H8" s="20"/>
    </row>
    <row r="9" spans="1:8" ht="14.25" x14ac:dyDescent="0.2">
      <c r="A9" s="211"/>
      <c r="B9" s="37"/>
      <c r="C9" s="10"/>
      <c r="D9" s="10"/>
      <c r="E9" s="10"/>
      <c r="F9" s="189"/>
      <c r="G9" s="190"/>
      <c r="H9" s="20"/>
    </row>
    <row r="10" spans="1:8" ht="14.25" x14ac:dyDescent="0.2">
      <c r="A10" s="211"/>
      <c r="B10" s="37"/>
      <c r="C10" s="10"/>
      <c r="D10" s="10"/>
      <c r="E10" s="10"/>
      <c r="F10" s="189"/>
      <c r="G10" s="190"/>
      <c r="H10" s="20"/>
    </row>
    <row r="11" spans="1:8" ht="15" x14ac:dyDescent="0.25">
      <c r="A11" s="211">
        <v>3</v>
      </c>
      <c r="B11" s="26"/>
      <c r="C11" s="54" t="s">
        <v>319</v>
      </c>
      <c r="D11" s="12"/>
      <c r="E11" s="12"/>
      <c r="F11" s="191">
        <f>SUM(F7:F10)</f>
        <v>0</v>
      </c>
      <c r="G11" s="192"/>
      <c r="H11" s="193"/>
    </row>
    <row r="12" spans="1:8" ht="14.25" x14ac:dyDescent="0.2">
      <c r="A12" s="211"/>
      <c r="B12" s="37"/>
      <c r="C12" s="10"/>
      <c r="D12" s="10"/>
      <c r="E12" s="10"/>
      <c r="F12" s="189"/>
      <c r="G12" s="190"/>
      <c r="H12" s="20"/>
    </row>
    <row r="13" spans="1:8" ht="15" x14ac:dyDescent="0.25">
      <c r="A13" s="212"/>
      <c r="B13" s="53" t="s">
        <v>320</v>
      </c>
      <c r="C13" s="12"/>
      <c r="D13" s="12"/>
      <c r="E13" s="12"/>
      <c r="F13" s="191"/>
      <c r="G13" s="192"/>
      <c r="H13" s="193"/>
    </row>
    <row r="14" spans="1:8" s="197" customFormat="1" ht="15" x14ac:dyDescent="0.25">
      <c r="A14" s="211"/>
      <c r="B14" s="194" t="s">
        <v>321</v>
      </c>
      <c r="C14" s="110"/>
      <c r="D14" s="110"/>
      <c r="E14" s="110"/>
      <c r="F14" s="195"/>
      <c r="G14" s="196"/>
      <c r="H14" s="106"/>
    </row>
    <row r="15" spans="1:8" s="197" customFormat="1" ht="14.25" x14ac:dyDescent="0.2">
      <c r="A15" s="211">
        <v>4</v>
      </c>
      <c r="B15" s="108"/>
      <c r="C15" s="110" t="s">
        <v>322</v>
      </c>
      <c r="D15" s="110"/>
      <c r="E15" s="110"/>
      <c r="F15" s="195"/>
      <c r="G15" s="196"/>
      <c r="H15" s="106"/>
    </row>
    <row r="16" spans="1:8" s="197" customFormat="1" ht="14.25" x14ac:dyDescent="0.2">
      <c r="A16" s="211">
        <v>5</v>
      </c>
      <c r="B16" s="108"/>
      <c r="C16" s="110" t="s">
        <v>323</v>
      </c>
      <c r="D16" s="110"/>
      <c r="E16" s="110"/>
      <c r="F16" s="195"/>
      <c r="G16" s="196"/>
      <c r="H16" s="106"/>
    </row>
    <row r="17" spans="1:8" s="197" customFormat="1" ht="14.25" x14ac:dyDescent="0.2">
      <c r="A17" s="211">
        <v>6</v>
      </c>
      <c r="B17" s="108"/>
      <c r="C17" s="110" t="s">
        <v>324</v>
      </c>
      <c r="D17" s="110"/>
      <c r="E17" s="110"/>
      <c r="F17" s="195"/>
      <c r="G17" s="196"/>
      <c r="H17" s="106"/>
    </row>
    <row r="18" spans="1:8" s="197" customFormat="1" ht="14.25" x14ac:dyDescent="0.2">
      <c r="A18" s="211">
        <v>7</v>
      </c>
      <c r="B18" s="108"/>
      <c r="C18" s="110" t="s">
        <v>325</v>
      </c>
      <c r="D18" s="110"/>
      <c r="E18" s="110"/>
      <c r="F18" s="195"/>
      <c r="G18" s="196"/>
      <c r="H18" s="106"/>
    </row>
    <row r="19" spans="1:8" s="197" customFormat="1" ht="14.25" x14ac:dyDescent="0.2">
      <c r="A19" s="211">
        <v>8</v>
      </c>
      <c r="B19" s="108"/>
      <c r="C19" s="110" t="s">
        <v>326</v>
      </c>
      <c r="D19" s="110"/>
      <c r="E19" s="110"/>
      <c r="F19" s="195"/>
      <c r="G19" s="196"/>
      <c r="H19" s="106"/>
    </row>
    <row r="20" spans="1:8" ht="14.25" x14ac:dyDescent="0.2">
      <c r="A20" s="211">
        <v>9</v>
      </c>
      <c r="B20" s="37"/>
      <c r="C20" s="10" t="s">
        <v>327</v>
      </c>
      <c r="D20" s="10"/>
      <c r="E20" s="10"/>
      <c r="F20" s="189"/>
      <c r="G20" s="190"/>
      <c r="H20" s="20"/>
    </row>
    <row r="21" spans="1:8" ht="14.25" x14ac:dyDescent="0.2">
      <c r="A21" s="211">
        <v>10</v>
      </c>
      <c r="B21" s="37"/>
      <c r="C21" s="10" t="s">
        <v>131</v>
      </c>
      <c r="D21" s="10"/>
      <c r="E21" s="10"/>
      <c r="F21" s="189"/>
      <c r="G21" s="190"/>
      <c r="H21" s="20"/>
    </row>
    <row r="22" spans="1:8" ht="14.25" x14ac:dyDescent="0.2">
      <c r="A22" s="211"/>
      <c r="B22" s="37"/>
      <c r="C22" s="10"/>
      <c r="D22" s="10"/>
      <c r="E22" s="10"/>
      <c r="F22" s="189"/>
      <c r="G22" s="190"/>
      <c r="H22" s="20"/>
    </row>
    <row r="23" spans="1:8" ht="14.25" x14ac:dyDescent="0.2">
      <c r="A23" s="211">
        <v>11</v>
      </c>
      <c r="B23" s="26"/>
      <c r="C23" s="198" t="s">
        <v>328</v>
      </c>
      <c r="D23" s="12"/>
      <c r="E23" s="12"/>
      <c r="F23" s="191">
        <f>SUM(F15:F22)</f>
        <v>0</v>
      </c>
      <c r="G23" s="192"/>
      <c r="H23" s="193"/>
    </row>
    <row r="24" spans="1:8" ht="14.25" x14ac:dyDescent="0.2">
      <c r="A24" s="211"/>
      <c r="B24" s="37"/>
      <c r="F24" s="189"/>
      <c r="G24" s="190"/>
      <c r="H24" s="20"/>
    </row>
    <row r="25" spans="1:8" ht="15" x14ac:dyDescent="0.25">
      <c r="A25" s="211"/>
      <c r="B25" s="81" t="s">
        <v>329</v>
      </c>
      <c r="C25" s="10"/>
      <c r="D25" s="10"/>
      <c r="E25" s="10"/>
      <c r="F25" s="189"/>
      <c r="G25" s="190"/>
      <c r="H25" s="20"/>
    </row>
    <row r="26" spans="1:8" ht="14.25" x14ac:dyDescent="0.2">
      <c r="A26" s="211">
        <v>12</v>
      </c>
      <c r="B26" s="37"/>
      <c r="C26" s="10" t="s">
        <v>330</v>
      </c>
      <c r="D26" s="10"/>
      <c r="E26" s="10"/>
      <c r="F26" s="189"/>
      <c r="G26" s="190"/>
      <c r="H26" s="20"/>
    </row>
    <row r="27" spans="1:8" ht="14.25" x14ac:dyDescent="0.2">
      <c r="A27" s="211">
        <v>13</v>
      </c>
      <c r="B27" s="37"/>
      <c r="C27" s="10" t="s">
        <v>331</v>
      </c>
      <c r="D27" s="10"/>
      <c r="E27" s="10"/>
      <c r="F27" s="189"/>
      <c r="G27" s="190"/>
      <c r="H27" s="20"/>
    </row>
    <row r="28" spans="1:8" ht="14.25" x14ac:dyDescent="0.2">
      <c r="A28" s="211">
        <v>14</v>
      </c>
      <c r="B28" s="37"/>
      <c r="C28" s="10" t="s">
        <v>332</v>
      </c>
      <c r="D28" s="10"/>
      <c r="E28" s="10"/>
      <c r="F28" s="189"/>
      <c r="G28" s="190"/>
      <c r="H28" s="20"/>
    </row>
    <row r="29" spans="1:8" ht="14.25" x14ac:dyDescent="0.2">
      <c r="A29" s="211">
        <v>15</v>
      </c>
      <c r="B29" s="37"/>
      <c r="C29" s="10" t="s">
        <v>333</v>
      </c>
      <c r="D29" s="10"/>
      <c r="E29" s="10"/>
      <c r="F29" s="189"/>
      <c r="G29" s="190"/>
      <c r="H29" s="20"/>
    </row>
    <row r="30" spans="1:8" ht="14.25" x14ac:dyDescent="0.2">
      <c r="A30" s="211"/>
      <c r="B30" s="37"/>
      <c r="C30" s="10"/>
      <c r="D30" s="10"/>
      <c r="E30" s="10"/>
      <c r="F30" s="189"/>
      <c r="G30" s="190"/>
      <c r="H30" s="20"/>
    </row>
    <row r="31" spans="1:8" ht="14.25" x14ac:dyDescent="0.2">
      <c r="A31" s="211">
        <v>16</v>
      </c>
      <c r="B31" s="26"/>
      <c r="C31" s="198" t="s">
        <v>334</v>
      </c>
      <c r="D31" s="12"/>
      <c r="E31" s="12"/>
      <c r="F31" s="191">
        <f>SUM(F26:F30)</f>
        <v>0</v>
      </c>
      <c r="G31" s="192"/>
      <c r="H31" s="193"/>
    </row>
    <row r="32" spans="1:8" ht="14.25" x14ac:dyDescent="0.2">
      <c r="A32" s="211"/>
      <c r="B32" s="37"/>
      <c r="D32" s="10"/>
      <c r="E32" s="10"/>
      <c r="F32" s="189"/>
      <c r="G32" s="190"/>
      <c r="H32" s="20"/>
    </row>
    <row r="33" spans="1:8" ht="15" x14ac:dyDescent="0.25">
      <c r="A33" s="211"/>
      <c r="B33" s="81" t="s">
        <v>335</v>
      </c>
      <c r="C33" s="10"/>
      <c r="D33" s="10"/>
      <c r="E33" s="10"/>
      <c r="F33" s="189"/>
      <c r="G33" s="190"/>
      <c r="H33" s="20"/>
    </row>
    <row r="34" spans="1:8" ht="14.25" x14ac:dyDescent="0.2">
      <c r="A34" s="211">
        <v>17</v>
      </c>
      <c r="B34" s="37"/>
      <c r="C34" s="10" t="s">
        <v>336</v>
      </c>
      <c r="D34" s="10"/>
      <c r="E34" s="10"/>
      <c r="F34" s="189"/>
      <c r="G34" s="190"/>
      <c r="H34" s="20"/>
    </row>
    <row r="35" spans="1:8" ht="14.25" x14ac:dyDescent="0.2">
      <c r="A35" s="211">
        <v>18</v>
      </c>
      <c r="B35" s="37"/>
      <c r="C35" s="10" t="s">
        <v>337</v>
      </c>
      <c r="D35" s="10"/>
      <c r="E35" s="10"/>
      <c r="F35" s="189"/>
      <c r="G35" s="190"/>
      <c r="H35" s="20"/>
    </row>
    <row r="36" spans="1:8" ht="14.25" x14ac:dyDescent="0.2">
      <c r="A36" s="211">
        <v>19</v>
      </c>
      <c r="B36" s="37"/>
      <c r="C36" s="10" t="s">
        <v>338</v>
      </c>
      <c r="D36" s="10"/>
      <c r="E36" s="10"/>
      <c r="F36" s="189"/>
      <c r="G36" s="190"/>
      <c r="H36" s="20"/>
    </row>
    <row r="37" spans="1:8" ht="14.25" x14ac:dyDescent="0.2">
      <c r="A37" s="211">
        <v>20</v>
      </c>
      <c r="B37" s="37"/>
      <c r="C37" s="10" t="s">
        <v>339</v>
      </c>
      <c r="D37" s="10"/>
      <c r="E37" s="10"/>
      <c r="F37" s="189"/>
      <c r="G37" s="190"/>
      <c r="H37" s="20"/>
    </row>
    <row r="38" spans="1:8" ht="14.25" x14ac:dyDescent="0.2">
      <c r="A38" s="211">
        <v>21</v>
      </c>
      <c r="B38" s="37"/>
      <c r="C38" s="10" t="s">
        <v>340</v>
      </c>
      <c r="D38" s="10"/>
      <c r="E38" s="10"/>
      <c r="F38" s="189"/>
      <c r="G38" s="190"/>
      <c r="H38" s="20"/>
    </row>
    <row r="39" spans="1:8" ht="14.25" x14ac:dyDescent="0.2">
      <c r="A39" s="211">
        <v>22</v>
      </c>
      <c r="B39" s="37"/>
      <c r="C39" s="10" t="s">
        <v>341</v>
      </c>
      <c r="D39" s="10"/>
      <c r="E39" s="10"/>
      <c r="F39" s="189"/>
      <c r="G39" s="190"/>
      <c r="H39" s="20"/>
    </row>
    <row r="40" spans="1:8" ht="14.25" x14ac:dyDescent="0.2">
      <c r="A40" s="211">
        <v>23</v>
      </c>
      <c r="B40" s="37"/>
      <c r="C40" s="10" t="s">
        <v>342</v>
      </c>
      <c r="D40" s="10"/>
      <c r="E40" s="10"/>
      <c r="F40" s="189"/>
      <c r="G40" s="190"/>
      <c r="H40" s="20"/>
    </row>
    <row r="41" spans="1:8" ht="14.25" x14ac:dyDescent="0.2">
      <c r="A41" s="211">
        <v>24</v>
      </c>
      <c r="B41" s="37"/>
      <c r="C41" s="10" t="s">
        <v>343</v>
      </c>
      <c r="D41" s="10"/>
      <c r="E41" s="10"/>
      <c r="F41" s="189"/>
      <c r="G41" s="190"/>
      <c r="H41" s="20"/>
    </row>
    <row r="42" spans="1:8" ht="14.25" x14ac:dyDescent="0.2">
      <c r="A42" s="211"/>
      <c r="B42" s="37"/>
      <c r="C42" s="10"/>
      <c r="D42" s="10"/>
      <c r="E42" s="10"/>
      <c r="F42" s="189"/>
      <c r="G42" s="190"/>
      <c r="H42" s="20"/>
    </row>
    <row r="43" spans="1:8" ht="14.25" x14ac:dyDescent="0.2">
      <c r="A43" s="211">
        <v>25</v>
      </c>
      <c r="B43" s="26"/>
      <c r="C43" s="198" t="s">
        <v>344</v>
      </c>
      <c r="D43" s="12"/>
      <c r="E43" s="12"/>
      <c r="F43" s="191">
        <f>SUM(F34:F42)</f>
        <v>0</v>
      </c>
      <c r="G43" s="192"/>
      <c r="H43" s="193"/>
    </row>
    <row r="44" spans="1:8" ht="14.25" x14ac:dyDescent="0.2">
      <c r="A44" s="211"/>
      <c r="B44" s="37"/>
      <c r="D44" s="10"/>
      <c r="E44" s="10"/>
      <c r="F44" s="189"/>
      <c r="G44" s="190"/>
      <c r="H44" s="20"/>
    </row>
    <row r="45" spans="1:8" ht="15" x14ac:dyDescent="0.25">
      <c r="A45" s="211"/>
      <c r="B45" s="81" t="s">
        <v>345</v>
      </c>
      <c r="C45" s="10"/>
      <c r="D45" s="10"/>
      <c r="E45" s="10"/>
      <c r="F45" s="189"/>
      <c r="G45" s="190"/>
      <c r="H45" s="20"/>
    </row>
    <row r="46" spans="1:8" ht="14.25" x14ac:dyDescent="0.2">
      <c r="A46" s="211">
        <v>26</v>
      </c>
      <c r="B46" s="37"/>
      <c r="C46" s="10" t="s">
        <v>346</v>
      </c>
      <c r="D46" s="10"/>
      <c r="E46" s="10"/>
      <c r="F46" s="189"/>
      <c r="G46" s="190"/>
      <c r="H46" s="20"/>
    </row>
    <row r="47" spans="1:8" ht="14.25" x14ac:dyDescent="0.2">
      <c r="A47" s="211">
        <v>27</v>
      </c>
      <c r="B47" s="37"/>
      <c r="C47" s="10" t="s">
        <v>347</v>
      </c>
      <c r="D47" s="10"/>
      <c r="E47" s="10"/>
      <c r="F47" s="189"/>
      <c r="G47" s="190"/>
      <c r="H47" s="20"/>
    </row>
    <row r="48" spans="1:8" ht="14.25" x14ac:dyDescent="0.2">
      <c r="A48" s="211"/>
      <c r="B48" s="37"/>
      <c r="C48" s="10"/>
      <c r="D48" s="10"/>
      <c r="E48" s="10"/>
      <c r="F48" s="189"/>
      <c r="G48" s="190"/>
      <c r="H48" s="20"/>
    </row>
    <row r="49" spans="1:8" ht="14.25" x14ac:dyDescent="0.2">
      <c r="A49" s="213">
        <v>28</v>
      </c>
      <c r="B49" s="199"/>
      <c r="C49" s="198" t="s">
        <v>348</v>
      </c>
      <c r="D49" s="113"/>
      <c r="E49" s="113"/>
      <c r="F49" s="200">
        <f>SUM(F46:F48)</f>
        <v>0</v>
      </c>
      <c r="G49" s="201"/>
      <c r="H49" s="202"/>
    </row>
    <row r="50" spans="1:8" ht="14.25" x14ac:dyDescent="0.2">
      <c r="A50" s="213"/>
      <c r="B50" s="43"/>
      <c r="D50" s="44"/>
      <c r="E50" s="44"/>
      <c r="F50" s="203"/>
      <c r="G50" s="204"/>
      <c r="H50" s="24"/>
    </row>
    <row r="51" spans="1:8" ht="15.75" thickBot="1" x14ac:dyDescent="0.3">
      <c r="A51" s="214">
        <v>29</v>
      </c>
      <c r="B51" s="205"/>
      <c r="C51" s="206" t="s">
        <v>349</v>
      </c>
      <c r="D51" s="207"/>
      <c r="E51" s="207"/>
      <c r="F51" s="208">
        <f>F23+F31+F43+F49</f>
        <v>0</v>
      </c>
      <c r="G51" s="209"/>
      <c r="H51" s="210"/>
    </row>
    <row r="52" spans="1:8" ht="13.5" thickTop="1" x14ac:dyDescent="0.2"/>
  </sheetData>
  <customSheetViews>
    <customSheetView guid="{FF09F429-7712-42C4-8E8D-F960CD33567E}" scale="75">
      <selection activeCell="J54" sqref="J54"/>
      <pageMargins left="0.28999999999999998" right="0.34" top="0.37" bottom="0.36" header="0.2" footer="0.2"/>
      <pageSetup orientation="portrait" r:id="rId1"/>
      <headerFooter alignWithMargins="0"/>
    </customSheetView>
    <customSheetView guid="{40BC2F83-0811-4ECE-99F8-980F9280326A}" scale="75">
      <selection activeCell="J54" sqref="J54"/>
      <pageMargins left="0.28999999999999998" right="0.34" top="0.37" bottom="0.36" header="0.2" footer="0.2"/>
      <pageSetup orientation="portrait" r:id="rId2"/>
      <headerFooter alignWithMargins="0"/>
    </customSheetView>
  </customSheetViews>
  <mergeCells count="4">
    <mergeCell ref="B4:D5"/>
    <mergeCell ref="F4:F5"/>
    <mergeCell ref="H4:H5"/>
    <mergeCell ref="D1:G1"/>
  </mergeCells>
  <phoneticPr fontId="0" type="noConversion"/>
  <pageMargins left="0.28999999999999998" right="0.34" top="0.37" bottom="0.36" header="0.2" footer="0.2"/>
  <pageSetup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128"/>
  <sheetViews>
    <sheetView tabSelected="1" zoomScale="85" zoomScaleNormal="85" workbookViewId="0"/>
  </sheetViews>
  <sheetFormatPr defaultColWidth="9.140625" defaultRowHeight="14.25" x14ac:dyDescent="0.2"/>
  <cols>
    <col min="1" max="1" width="61.42578125" style="3" customWidth="1"/>
    <col min="2" max="2" width="13.5703125" style="3" customWidth="1"/>
    <col min="3" max="5" width="13.5703125" style="505" customWidth="1"/>
    <col min="6" max="6" width="12.5703125" style="477" bestFit="1" customWidth="1"/>
    <col min="7" max="7" width="15.85546875" style="477" customWidth="1"/>
    <col min="8" max="8" width="17.5703125" style="504" bestFit="1" customWidth="1"/>
    <col min="9" max="13" width="12.85546875" style="3" bestFit="1" customWidth="1"/>
    <col min="14" max="15" width="14.28515625" style="3" customWidth="1"/>
    <col min="16" max="16" width="10.85546875" style="3" bestFit="1" customWidth="1"/>
    <col min="17" max="16384" width="9.140625" style="3"/>
  </cols>
  <sheetData>
    <row r="1" spans="1:13" ht="15" x14ac:dyDescent="0.25">
      <c r="A1" s="434" t="s">
        <v>471</v>
      </c>
      <c r="B1" s="438" t="s">
        <v>234</v>
      </c>
      <c r="C1" s="438" t="s">
        <v>235</v>
      </c>
      <c r="D1" s="438" t="s">
        <v>236</v>
      </c>
      <c r="E1" s="438" t="s">
        <v>237</v>
      </c>
      <c r="H1" s="434" t="s">
        <v>452</v>
      </c>
      <c r="I1" s="438" t="s">
        <v>234</v>
      </c>
      <c r="J1" s="438" t="s">
        <v>235</v>
      </c>
      <c r="K1" s="438" t="s">
        <v>236</v>
      </c>
      <c r="L1" s="438" t="s">
        <v>237</v>
      </c>
      <c r="M1" s="438" t="s">
        <v>238</v>
      </c>
    </row>
    <row r="2" spans="1:13" ht="15" x14ac:dyDescent="0.25">
      <c r="A2" s="435">
        <v>9</v>
      </c>
      <c r="B2" s="436">
        <v>175</v>
      </c>
      <c r="C2" s="436">
        <f>+B2</f>
        <v>175</v>
      </c>
      <c r="D2" s="436">
        <f>+C2</f>
        <v>175</v>
      </c>
      <c r="E2" s="436">
        <f>+D2</f>
        <v>175</v>
      </c>
      <c r="H2" s="435" t="s">
        <v>453</v>
      </c>
      <c r="I2" s="439">
        <f>+'Operating Statement of Act'!G70</f>
        <v>2861796.5</v>
      </c>
      <c r="J2" s="439">
        <f>+'Operating Statement of Act'!H70</f>
        <v>4788030.33</v>
      </c>
      <c r="K2" s="439">
        <f>+'Operating Statement of Act'!I70</f>
        <v>6759186.7903125007</v>
      </c>
      <c r="L2" s="439">
        <f>+'Operating Statement of Act'!J70</f>
        <v>8704891.0544615313</v>
      </c>
      <c r="M2" s="439">
        <f>+'Operating Statement of Act'!K70</f>
        <v>8899051.1127019152</v>
      </c>
    </row>
    <row r="3" spans="1:13" ht="15" x14ac:dyDescent="0.25">
      <c r="A3" s="435">
        <v>10</v>
      </c>
      <c r="B3" s="436"/>
      <c r="C3" s="436">
        <v>165</v>
      </c>
      <c r="D3" s="436">
        <f>+C3</f>
        <v>165</v>
      </c>
      <c r="E3" s="436">
        <f>+D3</f>
        <v>165</v>
      </c>
      <c r="H3" s="440" t="s">
        <v>455</v>
      </c>
      <c r="I3" s="441"/>
      <c r="J3" s="442">
        <f>+J2/I2-1</f>
        <v>0.67308553560674222</v>
      </c>
      <c r="K3" s="442">
        <f>+K2/J2-1</f>
        <v>0.41168420508157078</v>
      </c>
      <c r="L3" s="442">
        <f>+L2/K2-1</f>
        <v>0.28786070344108272</v>
      </c>
      <c r="M3" s="442">
        <f>+M2/L2-1</f>
        <v>2.2304708585740407E-2</v>
      </c>
    </row>
    <row r="4" spans="1:13" ht="15" x14ac:dyDescent="0.25">
      <c r="A4" s="435">
        <v>11</v>
      </c>
      <c r="B4" s="436"/>
      <c r="C4" s="436"/>
      <c r="D4" s="436">
        <v>160</v>
      </c>
      <c r="E4" s="436">
        <f>+D4</f>
        <v>160</v>
      </c>
      <c r="H4" s="435" t="s">
        <v>454</v>
      </c>
      <c r="I4" s="439">
        <f>+'Operating Statement of Act'!G391</f>
        <v>2710947.5769015346</v>
      </c>
      <c r="J4" s="439">
        <f>+'Operating Statement of Act'!H391</f>
        <v>4392316.2458540983</v>
      </c>
      <c r="K4" s="439">
        <f>+'Operating Statement of Act'!I391</f>
        <v>6373663.161411331</v>
      </c>
      <c r="L4" s="439">
        <f>+'Operating Statement of Act'!J391</f>
        <v>8016416.8478981582</v>
      </c>
      <c r="M4" s="439">
        <f>+'Operating Statement of Act'!K391</f>
        <v>8170338.3787819464</v>
      </c>
    </row>
    <row r="5" spans="1:13" ht="15" x14ac:dyDescent="0.25">
      <c r="A5" s="435">
        <v>12</v>
      </c>
      <c r="B5" s="436"/>
      <c r="C5" s="436"/>
      <c r="D5" s="436"/>
      <c r="E5" s="436">
        <v>155</v>
      </c>
      <c r="H5" s="440" t="s">
        <v>455</v>
      </c>
      <c r="I5" s="441"/>
      <c r="J5" s="442">
        <f>+J4/I4-1</f>
        <v>0.620214379384745</v>
      </c>
      <c r="K5" s="442">
        <f>+K4/J4-1</f>
        <v>0.45109386589078682</v>
      </c>
      <c r="L5" s="442">
        <f>+L4/K4-1</f>
        <v>0.25774090109322145</v>
      </c>
      <c r="M5" s="442">
        <f>+M4/L4-1</f>
        <v>1.9200789305778843E-2</v>
      </c>
    </row>
    <row r="6" spans="1:13" ht="15" x14ac:dyDescent="0.25">
      <c r="A6" s="435" t="s">
        <v>383</v>
      </c>
      <c r="B6" s="437">
        <f>SUM(B2:B5)</f>
        <v>175</v>
      </c>
      <c r="C6" s="437">
        <f>SUM(C2:C5)</f>
        <v>340</v>
      </c>
      <c r="D6" s="437">
        <f>SUM(D2:D5)</f>
        <v>500</v>
      </c>
      <c r="E6" s="437">
        <f>SUM(E2:E5)</f>
        <v>655</v>
      </c>
      <c r="F6" s="2" t="s">
        <v>511</v>
      </c>
      <c r="G6"/>
      <c r="H6" s="435" t="s">
        <v>456</v>
      </c>
      <c r="I6" s="443">
        <f>+I2-I4</f>
        <v>150848.92309846543</v>
      </c>
      <c r="J6" s="443">
        <f>+J2-J4</f>
        <v>395714.08414590172</v>
      </c>
      <c r="K6" s="443">
        <f>+K2-K4</f>
        <v>385523.62890116964</v>
      </c>
      <c r="L6" s="443">
        <f>+L2-L4</f>
        <v>688474.2065633731</v>
      </c>
      <c r="M6" s="443">
        <f>+M2-M4</f>
        <v>728712.73391996883</v>
      </c>
    </row>
    <row r="7" spans="1:13" ht="15" x14ac:dyDescent="0.25">
      <c r="A7" s="435" t="s">
        <v>384</v>
      </c>
      <c r="B7" s="436">
        <v>1</v>
      </c>
      <c r="C7" s="436">
        <v>3</v>
      </c>
      <c r="D7" s="436">
        <v>4</v>
      </c>
      <c r="E7" s="436">
        <v>5</v>
      </c>
      <c r="F7" s="613">
        <v>8.2372322899505763E-3</v>
      </c>
      <c r="G7"/>
      <c r="H7" s="440" t="s">
        <v>455</v>
      </c>
      <c r="I7" s="441"/>
      <c r="J7" s="442">
        <f>+J6/I6-1</f>
        <v>1.6232476574433514</v>
      </c>
      <c r="K7" s="442">
        <f>+K6/J6-1</f>
        <v>-2.5752066082577962E-2</v>
      </c>
      <c r="L7" s="442">
        <f>+L6/K6-1</f>
        <v>0.78581584876050736</v>
      </c>
      <c r="M7" s="442">
        <f>+M6/L6-1</f>
        <v>5.8445947535860077E-2</v>
      </c>
    </row>
    <row r="8" spans="1:13" ht="15" x14ac:dyDescent="0.25">
      <c r="A8" s="435" t="s">
        <v>385</v>
      </c>
      <c r="B8" s="436">
        <v>17</v>
      </c>
      <c r="C8" s="436">
        <v>33</v>
      </c>
      <c r="D8" s="436">
        <v>49</v>
      </c>
      <c r="E8" s="436">
        <v>64</v>
      </c>
      <c r="F8" s="613">
        <v>9.7199341021416807E-2</v>
      </c>
      <c r="G8"/>
      <c r="H8" s="440" t="s">
        <v>460</v>
      </c>
      <c r="I8" s="442">
        <f>+I6/I2</f>
        <v>5.2711268288456369E-2</v>
      </c>
      <c r="J8" s="442">
        <f>+J6/J2</f>
        <v>8.2646528295049815E-2</v>
      </c>
      <c r="K8" s="442">
        <f>+K6/K2</f>
        <v>5.7036984013182676E-2</v>
      </c>
      <c r="L8" s="442">
        <f>+L6/L2</f>
        <v>7.9090502368838758E-2</v>
      </c>
      <c r="M8" s="442">
        <f>+M6/M2</f>
        <v>8.1886565735065017E-2</v>
      </c>
    </row>
    <row r="9" spans="1:13" ht="15" x14ac:dyDescent="0.25">
      <c r="A9" s="435" t="s">
        <v>386</v>
      </c>
      <c r="B9" s="436">
        <v>5</v>
      </c>
      <c r="C9" s="436">
        <v>9</v>
      </c>
      <c r="D9" s="436">
        <v>13</v>
      </c>
      <c r="E9" s="436">
        <v>17</v>
      </c>
      <c r="F9" s="613">
        <v>2.6359143327841845E-2</v>
      </c>
      <c r="G9"/>
      <c r="H9" s="435" t="s">
        <v>459</v>
      </c>
      <c r="I9" s="439">
        <f>+I6</f>
        <v>150848.92309846543</v>
      </c>
      <c r="J9" s="439">
        <f>+I9+J6</f>
        <v>546563.00724436715</v>
      </c>
      <c r="K9" s="439">
        <f>+J9+K6</f>
        <v>932086.63614553679</v>
      </c>
      <c r="L9" s="439">
        <f>+K9+L6</f>
        <v>1620560.8427089099</v>
      </c>
      <c r="M9" s="439">
        <f>+L9+M6</f>
        <v>2349273.5766288787</v>
      </c>
    </row>
    <row r="10" spans="1:13" ht="15" x14ac:dyDescent="0.25">
      <c r="A10" s="435" t="s">
        <v>387</v>
      </c>
      <c r="B10" s="436">
        <v>4</v>
      </c>
      <c r="C10" s="436">
        <v>8</v>
      </c>
      <c r="D10" s="436">
        <v>12</v>
      </c>
      <c r="E10" s="436">
        <v>15</v>
      </c>
      <c r="F10" s="613">
        <v>2.3064250411861616E-2</v>
      </c>
      <c r="G10"/>
      <c r="H10" s="440" t="s">
        <v>461</v>
      </c>
      <c r="I10" s="442">
        <f>+I9/I4</f>
        <v>5.5644352691938639E-2</v>
      </c>
      <c r="J10" s="442">
        <f>+J9/J4</f>
        <v>0.12443616913064201</v>
      </c>
      <c r="K10" s="442">
        <f>+K9/K4</f>
        <v>0.14624033503821737</v>
      </c>
      <c r="L10" s="442">
        <f>+L9/L4</f>
        <v>0.20215526131650804</v>
      </c>
      <c r="M10" s="442">
        <f>+M9/M4</f>
        <v>0.28753687640769587</v>
      </c>
    </row>
    <row r="11" spans="1:13" ht="15" x14ac:dyDescent="0.25">
      <c r="A11" s="435" t="s">
        <v>388</v>
      </c>
      <c r="B11" s="436">
        <v>2</v>
      </c>
      <c r="C11" s="436">
        <v>4</v>
      </c>
      <c r="D11" s="436">
        <v>7</v>
      </c>
      <c r="E11" s="436">
        <v>9</v>
      </c>
      <c r="F11" s="613">
        <v>1.3179571663920923E-2</v>
      </c>
      <c r="G11"/>
      <c r="H11"/>
    </row>
    <row r="12" spans="1:13" ht="15" x14ac:dyDescent="0.25">
      <c r="A12" s="435" t="s">
        <v>389</v>
      </c>
      <c r="B12" s="436">
        <v>0</v>
      </c>
      <c r="C12" s="436">
        <v>1</v>
      </c>
      <c r="D12" s="436">
        <v>1</v>
      </c>
      <c r="E12" s="436">
        <v>1</v>
      </c>
      <c r="F12" s="613">
        <v>1.6474464579901153E-3</v>
      </c>
      <c r="G12"/>
      <c r="H12"/>
      <c r="I12" s="616"/>
      <c r="J12" s="616"/>
      <c r="K12" s="616"/>
      <c r="L12" s="616"/>
      <c r="M12" s="616"/>
    </row>
    <row r="13" spans="1:13" ht="15" x14ac:dyDescent="0.25">
      <c r="A13" s="435" t="s">
        <v>390</v>
      </c>
      <c r="B13" s="436">
        <v>4</v>
      </c>
      <c r="C13" s="436">
        <v>8</v>
      </c>
      <c r="D13" s="436">
        <v>12</v>
      </c>
      <c r="E13" s="436">
        <v>15</v>
      </c>
      <c r="F13" s="613">
        <v>2.3064250411861616E-2</v>
      </c>
      <c r="G13"/>
      <c r="H13"/>
      <c r="I13" s="606"/>
      <c r="J13" s="606"/>
      <c r="K13" s="606"/>
      <c r="L13" s="606"/>
      <c r="M13" s="606"/>
    </row>
    <row r="14" spans="1:13" ht="15" x14ac:dyDescent="0.25">
      <c r="A14" s="435" t="s">
        <v>391</v>
      </c>
      <c r="B14" s="436">
        <v>5</v>
      </c>
      <c r="C14" s="436">
        <v>10</v>
      </c>
      <c r="D14" s="436">
        <v>15</v>
      </c>
      <c r="E14" s="436">
        <v>19</v>
      </c>
      <c r="F14" s="613">
        <v>2.9654036243822075E-2</v>
      </c>
      <c r="G14"/>
      <c r="H14"/>
      <c r="I14" s="606"/>
      <c r="J14" s="606"/>
      <c r="K14" s="606"/>
      <c r="L14" s="606"/>
      <c r="M14" s="606"/>
    </row>
    <row r="16" spans="1:13" ht="15" x14ac:dyDescent="0.25">
      <c r="A16" s="516" t="s">
        <v>442</v>
      </c>
      <c r="B16" s="438" t="s">
        <v>234</v>
      </c>
      <c r="C16" s="438" t="s">
        <v>235</v>
      </c>
      <c r="D16" s="438" t="s">
        <v>236</v>
      </c>
      <c r="E16" s="438" t="s">
        <v>237</v>
      </c>
      <c r="F16" s="444" t="s">
        <v>480</v>
      </c>
      <c r="G16" s="444" t="s">
        <v>481</v>
      </c>
      <c r="I16" s="617"/>
      <c r="J16" s="617"/>
      <c r="K16" s="617"/>
      <c r="L16" s="617"/>
      <c r="M16" s="617"/>
    </row>
    <row r="17" spans="1:15" ht="15" x14ac:dyDescent="0.25">
      <c r="A17" s="435" t="s">
        <v>470</v>
      </c>
      <c r="B17" s="446">
        <v>7280</v>
      </c>
      <c r="C17" s="446">
        <f t="shared" ref="C17:E19" si="0">+B17*(1+$F17)</f>
        <v>7443.8</v>
      </c>
      <c r="D17" s="446">
        <f t="shared" si="0"/>
        <v>7611.2855</v>
      </c>
      <c r="E17" s="446">
        <f t="shared" si="0"/>
        <v>7782.5394237499995</v>
      </c>
      <c r="F17" s="612">
        <v>2.2499999999999999E-2</v>
      </c>
      <c r="G17" s="517"/>
      <c r="I17" s="619"/>
      <c r="J17" s="619"/>
      <c r="K17" s="619"/>
      <c r="L17" s="619"/>
      <c r="M17" s="619"/>
    </row>
    <row r="18" spans="1:15" ht="15" x14ac:dyDescent="0.25">
      <c r="A18" s="435" t="s">
        <v>412</v>
      </c>
      <c r="B18" s="446">
        <v>732.46</v>
      </c>
      <c r="C18" s="446">
        <f t="shared" si="0"/>
        <v>732.46</v>
      </c>
      <c r="D18" s="446">
        <f t="shared" si="0"/>
        <v>732.46</v>
      </c>
      <c r="E18" s="446">
        <f t="shared" si="0"/>
        <v>732.46</v>
      </c>
      <c r="F18" s="612">
        <v>0</v>
      </c>
      <c r="G18" s="518"/>
    </row>
    <row r="19" spans="1:15" ht="15" x14ac:dyDescent="0.25">
      <c r="A19" s="435" t="s">
        <v>465</v>
      </c>
      <c r="B19" s="446">
        <v>110</v>
      </c>
      <c r="C19" s="446">
        <f t="shared" si="0"/>
        <v>110</v>
      </c>
      <c r="D19" s="446">
        <f t="shared" si="0"/>
        <v>110</v>
      </c>
      <c r="E19" s="446">
        <f t="shared" si="0"/>
        <v>110</v>
      </c>
      <c r="F19" s="612">
        <v>0</v>
      </c>
      <c r="G19" s="519"/>
    </row>
    <row r="20" spans="1:15" ht="15" x14ac:dyDescent="0.25">
      <c r="A20" s="435" t="s">
        <v>466</v>
      </c>
      <c r="B20" s="446">
        <f>B$17*$G20</f>
        <v>364</v>
      </c>
      <c r="C20" s="446">
        <f t="shared" ref="C20:E21" si="1">C$17*$G20</f>
        <v>372.19000000000005</v>
      </c>
      <c r="D20" s="446">
        <f t="shared" si="1"/>
        <v>380.56427500000001</v>
      </c>
      <c r="E20" s="446">
        <f t="shared" si="1"/>
        <v>389.12697118749998</v>
      </c>
      <c r="F20" s="612">
        <f>F17</f>
        <v>2.2499999999999999E-2</v>
      </c>
      <c r="G20" s="450">
        <v>0.05</v>
      </c>
    </row>
    <row r="21" spans="1:15" ht="15" x14ac:dyDescent="0.25">
      <c r="A21" s="435" t="s">
        <v>384</v>
      </c>
      <c r="B21" s="446">
        <f>B$17*$G21</f>
        <v>1456</v>
      </c>
      <c r="C21" s="446">
        <f t="shared" si="1"/>
        <v>1488.7600000000002</v>
      </c>
      <c r="D21" s="446">
        <f t="shared" si="1"/>
        <v>1522.2571</v>
      </c>
      <c r="E21" s="446">
        <f t="shared" si="1"/>
        <v>1556.5078847499999</v>
      </c>
      <c r="F21" s="612">
        <f>F20</f>
        <v>2.2499999999999999E-2</v>
      </c>
      <c r="G21" s="450">
        <v>0.2</v>
      </c>
    </row>
    <row r="22" spans="1:15" ht="15" x14ac:dyDescent="0.25">
      <c r="A22" s="435" t="s">
        <v>385</v>
      </c>
      <c r="B22" s="446">
        <f t="shared" ref="B22:E28" si="2">B$17*$G22</f>
        <v>8554</v>
      </c>
      <c r="C22" s="446">
        <f t="shared" si="2"/>
        <v>8746.4650000000001</v>
      </c>
      <c r="D22" s="446">
        <f t="shared" si="2"/>
        <v>8943.2604625000004</v>
      </c>
      <c r="E22" s="446">
        <f t="shared" si="2"/>
        <v>9144.4838229062498</v>
      </c>
      <c r="F22" s="612">
        <f t="shared" ref="F22:F28" si="3">F21</f>
        <v>2.2499999999999999E-2</v>
      </c>
      <c r="G22" s="450">
        <v>1.175</v>
      </c>
    </row>
    <row r="23" spans="1:15" ht="15" x14ac:dyDescent="0.25">
      <c r="A23" s="435" t="s">
        <v>386</v>
      </c>
      <c r="B23" s="446">
        <f t="shared" si="2"/>
        <v>13650</v>
      </c>
      <c r="C23" s="446">
        <f t="shared" si="2"/>
        <v>13957.125</v>
      </c>
      <c r="D23" s="446">
        <f t="shared" si="2"/>
        <v>14271.1603125</v>
      </c>
      <c r="E23" s="446">
        <f t="shared" si="2"/>
        <v>14592.261419531249</v>
      </c>
      <c r="F23" s="612">
        <f t="shared" si="3"/>
        <v>2.2499999999999999E-2</v>
      </c>
      <c r="G23" s="450">
        <v>1.875</v>
      </c>
    </row>
    <row r="24" spans="1:15" ht="15" x14ac:dyDescent="0.25">
      <c r="A24" s="435" t="s">
        <v>387</v>
      </c>
      <c r="B24" s="446">
        <f t="shared" si="2"/>
        <v>15833.999999999998</v>
      </c>
      <c r="C24" s="446">
        <f t="shared" si="2"/>
        <v>16190.264999999999</v>
      </c>
      <c r="D24" s="446">
        <f t="shared" si="2"/>
        <v>16554.5459625</v>
      </c>
      <c r="E24" s="446">
        <f t="shared" si="2"/>
        <v>16927.023246656248</v>
      </c>
      <c r="F24" s="612">
        <f t="shared" si="3"/>
        <v>2.2499999999999999E-2</v>
      </c>
      <c r="G24" s="450">
        <v>2.1749999999999998</v>
      </c>
      <c r="J24" s="486"/>
    </row>
    <row r="25" spans="1:15" ht="15" x14ac:dyDescent="0.25">
      <c r="A25" s="435" t="s">
        <v>388</v>
      </c>
      <c r="B25" s="446">
        <f t="shared" si="2"/>
        <v>21840</v>
      </c>
      <c r="C25" s="446">
        <f t="shared" si="2"/>
        <v>22331.4</v>
      </c>
      <c r="D25" s="446">
        <f t="shared" si="2"/>
        <v>22833.856500000002</v>
      </c>
      <c r="E25" s="446">
        <f t="shared" si="2"/>
        <v>23347.618271249998</v>
      </c>
      <c r="F25" s="612">
        <f t="shared" si="3"/>
        <v>2.2499999999999999E-2</v>
      </c>
      <c r="G25" s="450">
        <v>3</v>
      </c>
    </row>
    <row r="26" spans="1:15" ht="15" x14ac:dyDescent="0.25">
      <c r="A26" s="435" t="s">
        <v>392</v>
      </c>
      <c r="B26" s="446">
        <f t="shared" si="2"/>
        <v>364</v>
      </c>
      <c r="C26" s="446">
        <f t="shared" si="2"/>
        <v>372.19000000000005</v>
      </c>
      <c r="D26" s="446">
        <f t="shared" si="2"/>
        <v>380.56427500000001</v>
      </c>
      <c r="E26" s="446">
        <f t="shared" si="2"/>
        <v>389.12697118749998</v>
      </c>
      <c r="F26" s="612">
        <f t="shared" si="3"/>
        <v>2.2499999999999999E-2</v>
      </c>
      <c r="G26" s="450">
        <v>0.05</v>
      </c>
    </row>
    <row r="27" spans="1:15" ht="15" x14ac:dyDescent="0.25">
      <c r="A27" s="435" t="s">
        <v>369</v>
      </c>
      <c r="B27" s="446">
        <f t="shared" si="2"/>
        <v>2184</v>
      </c>
      <c r="C27" s="446">
        <f t="shared" si="2"/>
        <v>2233.14</v>
      </c>
      <c r="D27" s="446">
        <f t="shared" si="2"/>
        <v>2283.3856499999997</v>
      </c>
      <c r="E27" s="446">
        <f t="shared" si="2"/>
        <v>2334.7618271249999</v>
      </c>
      <c r="F27" s="612">
        <f t="shared" si="3"/>
        <v>2.2499999999999999E-2</v>
      </c>
      <c r="G27" s="450">
        <v>0.3</v>
      </c>
    </row>
    <row r="28" spans="1:15" ht="15" x14ac:dyDescent="0.25">
      <c r="A28" s="435" t="s">
        <v>391</v>
      </c>
      <c r="B28" s="446">
        <f t="shared" si="2"/>
        <v>1638</v>
      </c>
      <c r="C28" s="446">
        <f t="shared" si="2"/>
        <v>1674.855</v>
      </c>
      <c r="D28" s="446">
        <f t="shared" si="2"/>
        <v>1712.5392375000001</v>
      </c>
      <c r="E28" s="446">
        <f t="shared" si="2"/>
        <v>1751.07137034375</v>
      </c>
      <c r="F28" s="612">
        <f t="shared" si="3"/>
        <v>2.2499999999999999E-2</v>
      </c>
      <c r="G28" s="450">
        <v>0.22500000000000001</v>
      </c>
      <c r="I28" s="605"/>
      <c r="J28" s="605"/>
      <c r="K28" s="605"/>
      <c r="L28" s="605"/>
      <c r="M28" s="605"/>
    </row>
    <row r="29" spans="1:15" x14ac:dyDescent="0.2">
      <c r="J29" s="606"/>
      <c r="K29" s="606"/>
      <c r="L29" s="606"/>
    </row>
    <row r="30" spans="1:15" ht="15" x14ac:dyDescent="0.25">
      <c r="A30" s="476" t="s">
        <v>413</v>
      </c>
      <c r="B30" s="438" t="s">
        <v>234</v>
      </c>
      <c r="C30" s="438" t="s">
        <v>235</v>
      </c>
      <c r="D30" s="438" t="s">
        <v>236</v>
      </c>
      <c r="E30" s="438" t="s">
        <v>237</v>
      </c>
      <c r="F30" s="444" t="s">
        <v>480</v>
      </c>
    </row>
    <row r="31" spans="1:15" ht="15" x14ac:dyDescent="0.25">
      <c r="A31" s="435" t="s">
        <v>414</v>
      </c>
      <c r="B31" s="446">
        <v>314000</v>
      </c>
      <c r="C31" s="446">
        <f t="shared" ref="C31:E36" si="4">+B31*(1+$F31)</f>
        <v>329700</v>
      </c>
      <c r="D31" s="446">
        <f t="shared" si="4"/>
        <v>346185</v>
      </c>
      <c r="E31" s="446">
        <f t="shared" si="4"/>
        <v>363494.25</v>
      </c>
      <c r="F31" s="501">
        <v>0.05</v>
      </c>
      <c r="G31" s="14"/>
      <c r="I31" s="428"/>
      <c r="J31" s="428"/>
      <c r="K31" s="428"/>
      <c r="L31" s="428"/>
      <c r="M31" s="428"/>
      <c r="N31" s="428"/>
      <c r="O31" s="428"/>
    </row>
    <row r="32" spans="1:15" ht="15" x14ac:dyDescent="0.25">
      <c r="A32" s="435" t="s">
        <v>415</v>
      </c>
      <c r="B32" s="446">
        <v>33500</v>
      </c>
      <c r="C32" s="446">
        <f t="shared" si="4"/>
        <v>34170</v>
      </c>
      <c r="D32" s="446">
        <f t="shared" si="4"/>
        <v>34853.4</v>
      </c>
      <c r="E32" s="446">
        <f t="shared" si="4"/>
        <v>35550.468000000001</v>
      </c>
      <c r="F32" s="512">
        <v>0.02</v>
      </c>
      <c r="G32" s="451"/>
      <c r="I32" s="451"/>
    </row>
    <row r="33" spans="1:15" ht="15" x14ac:dyDescent="0.25">
      <c r="A33" s="435" t="s">
        <v>416</v>
      </c>
      <c r="B33" s="446">
        <v>1500</v>
      </c>
      <c r="C33" s="446">
        <f t="shared" si="4"/>
        <v>1500</v>
      </c>
      <c r="D33" s="446">
        <f t="shared" si="4"/>
        <v>1500</v>
      </c>
      <c r="E33" s="446">
        <f t="shared" si="4"/>
        <v>1500</v>
      </c>
      <c r="F33" s="512">
        <v>0</v>
      </c>
      <c r="M33" s="448"/>
      <c r="N33" s="449"/>
      <c r="O33" s="14"/>
    </row>
    <row r="34" spans="1:15" ht="15" x14ac:dyDescent="0.25">
      <c r="A34" s="435" t="s">
        <v>417</v>
      </c>
      <c r="B34" s="446">
        <v>10000</v>
      </c>
      <c r="C34" s="446">
        <f t="shared" si="4"/>
        <v>10000</v>
      </c>
      <c r="D34" s="446">
        <f t="shared" si="4"/>
        <v>10000</v>
      </c>
      <c r="E34" s="446">
        <f t="shared" si="4"/>
        <v>10000</v>
      </c>
      <c r="F34" s="512">
        <v>0</v>
      </c>
      <c r="I34" s="429"/>
    </row>
    <row r="35" spans="1:15" ht="15" x14ac:dyDescent="0.25">
      <c r="A35" s="435" t="s">
        <v>418</v>
      </c>
      <c r="B35" s="446">
        <v>120000</v>
      </c>
      <c r="C35" s="446">
        <f t="shared" si="4"/>
        <v>122400</v>
      </c>
      <c r="D35" s="446">
        <f t="shared" si="4"/>
        <v>124848</v>
      </c>
      <c r="E35" s="446">
        <f t="shared" si="4"/>
        <v>127344.96000000001</v>
      </c>
      <c r="F35" s="512">
        <v>0.02</v>
      </c>
      <c r="G35" s="14"/>
      <c r="I35" s="452"/>
    </row>
    <row r="36" spans="1:15" ht="15" x14ac:dyDescent="0.25">
      <c r="A36" s="435" t="s">
        <v>419</v>
      </c>
      <c r="B36" s="446">
        <v>0</v>
      </c>
      <c r="C36" s="446">
        <f t="shared" si="4"/>
        <v>0</v>
      </c>
      <c r="D36" s="446">
        <f t="shared" si="4"/>
        <v>0</v>
      </c>
      <c r="E36" s="446">
        <f t="shared" si="4"/>
        <v>0</v>
      </c>
      <c r="F36" s="512">
        <v>0.02</v>
      </c>
      <c r="G36" s="14"/>
      <c r="I36" s="452"/>
    </row>
    <row r="37" spans="1:15" s="505" customFormat="1" x14ac:dyDescent="0.2"/>
    <row r="38" spans="1:15" ht="15" x14ac:dyDescent="0.25">
      <c r="A38" s="607" t="s">
        <v>485</v>
      </c>
      <c r="B38" s="438" t="s">
        <v>234</v>
      </c>
      <c r="C38" s="438" t="s">
        <v>235</v>
      </c>
      <c r="D38" s="438" t="s">
        <v>236</v>
      </c>
      <c r="E38" s="438" t="s">
        <v>237</v>
      </c>
      <c r="F38" s="444" t="s">
        <v>480</v>
      </c>
    </row>
    <row r="39" spans="1:15" ht="15" x14ac:dyDescent="0.25">
      <c r="A39" s="435" t="s">
        <v>420</v>
      </c>
      <c r="B39" s="446">
        <v>56000</v>
      </c>
      <c r="C39" s="446">
        <f t="shared" ref="C39:E41" si="5">+B39*(1+$F39)</f>
        <v>57120</v>
      </c>
      <c r="D39" s="446">
        <f t="shared" si="5"/>
        <v>58262.400000000001</v>
      </c>
      <c r="E39" s="446">
        <f t="shared" si="5"/>
        <v>59427.648000000001</v>
      </c>
      <c r="F39" s="512">
        <v>0.02</v>
      </c>
      <c r="G39" s="14"/>
      <c r="I39" s="452"/>
    </row>
    <row r="40" spans="1:15" ht="15" x14ac:dyDescent="0.25">
      <c r="A40" s="435" t="s">
        <v>421</v>
      </c>
      <c r="B40" s="446">
        <v>36000</v>
      </c>
      <c r="C40" s="446">
        <f t="shared" si="5"/>
        <v>36720</v>
      </c>
      <c r="D40" s="446">
        <f t="shared" si="5"/>
        <v>37454.400000000001</v>
      </c>
      <c r="E40" s="446">
        <f t="shared" si="5"/>
        <v>38203.488000000005</v>
      </c>
      <c r="F40" s="512">
        <v>0.02</v>
      </c>
    </row>
    <row r="41" spans="1:15" ht="15" x14ac:dyDescent="0.25">
      <c r="A41" s="435" t="s">
        <v>422</v>
      </c>
      <c r="B41" s="446">
        <v>50000</v>
      </c>
      <c r="C41" s="446">
        <f t="shared" si="5"/>
        <v>51000</v>
      </c>
      <c r="D41" s="446">
        <f t="shared" si="5"/>
        <v>52020</v>
      </c>
      <c r="E41" s="446">
        <f t="shared" si="5"/>
        <v>53060.4</v>
      </c>
      <c r="F41" s="512">
        <v>0.02</v>
      </c>
    </row>
    <row r="43" spans="1:15" s="505" customFormat="1" x14ac:dyDescent="0.2"/>
    <row r="44" spans="1:15" ht="15" x14ac:dyDescent="0.25">
      <c r="A44" s="506" t="s">
        <v>486</v>
      </c>
      <c r="B44" s="438" t="s">
        <v>234</v>
      </c>
      <c r="C44" s="438" t="s">
        <v>235</v>
      </c>
      <c r="D44" s="438" t="s">
        <v>236</v>
      </c>
      <c r="E44" s="438" t="s">
        <v>237</v>
      </c>
      <c r="F44" s="444" t="s">
        <v>480</v>
      </c>
    </row>
    <row r="45" spans="1:15" ht="15" x14ac:dyDescent="0.25">
      <c r="A45" s="435" t="s">
        <v>487</v>
      </c>
      <c r="B45" s="446">
        <v>285000</v>
      </c>
      <c r="C45" s="446">
        <f t="shared" ref="C45:E45" si="6">+B45*(1+$F45)</f>
        <v>290700</v>
      </c>
      <c r="D45" s="446">
        <f t="shared" si="6"/>
        <v>296514</v>
      </c>
      <c r="E45" s="446">
        <f t="shared" si="6"/>
        <v>302444.28000000003</v>
      </c>
      <c r="F45" s="512">
        <v>0.02</v>
      </c>
    </row>
    <row r="47" spans="1:15" s="505" customFormat="1" x14ac:dyDescent="0.2"/>
    <row r="48" spans="1:15" ht="15" x14ac:dyDescent="0.25">
      <c r="A48" s="506" t="s">
        <v>510</v>
      </c>
      <c r="B48" s="438" t="s">
        <v>234</v>
      </c>
      <c r="C48" s="438" t="s">
        <v>235</v>
      </c>
      <c r="D48" s="438" t="s">
        <v>236</v>
      </c>
      <c r="E48" s="438" t="s">
        <v>237</v>
      </c>
      <c r="F48" s="444" t="s">
        <v>480</v>
      </c>
    </row>
    <row r="49" spans="1:16" ht="15" x14ac:dyDescent="0.25">
      <c r="A49" s="435" t="s">
        <v>438</v>
      </c>
      <c r="B49" s="453">
        <v>0.12</v>
      </c>
      <c r="C49" s="453">
        <f t="shared" ref="C49:E53" si="7">+B49</f>
        <v>0.12</v>
      </c>
      <c r="D49" s="453">
        <f t="shared" si="7"/>
        <v>0.12</v>
      </c>
      <c r="E49" s="453">
        <f t="shared" si="7"/>
        <v>0.12</v>
      </c>
      <c r="F49" s="512" t="s">
        <v>411</v>
      </c>
    </row>
    <row r="50" spans="1:16" ht="15" x14ac:dyDescent="0.25">
      <c r="A50" s="435" t="s">
        <v>441</v>
      </c>
      <c r="B50" s="446">
        <v>118</v>
      </c>
      <c r="C50" s="446">
        <f t="shared" ref="C50" si="8">+B50*(1+$F50)</f>
        <v>120.36</v>
      </c>
      <c r="D50" s="446">
        <f t="shared" ref="D50" si="9">+C50*(1+$F50)</f>
        <v>122.7672</v>
      </c>
      <c r="E50" s="446">
        <f t="shared" ref="E50" si="10">+D50*(1+$F50)</f>
        <v>125.222544</v>
      </c>
      <c r="F50" s="512">
        <v>0.02</v>
      </c>
    </row>
    <row r="51" spans="1:16" ht="15" x14ac:dyDescent="0.25">
      <c r="A51" s="435" t="s">
        <v>393</v>
      </c>
      <c r="B51" s="453">
        <v>0.02</v>
      </c>
      <c r="C51" s="453">
        <f t="shared" si="7"/>
        <v>0.02</v>
      </c>
      <c r="D51" s="453">
        <f t="shared" si="7"/>
        <v>0.02</v>
      </c>
      <c r="E51" s="453">
        <f t="shared" si="7"/>
        <v>0.02</v>
      </c>
      <c r="F51" s="512" t="s">
        <v>411</v>
      </c>
    </row>
    <row r="52" spans="1:16" ht="15" x14ac:dyDescent="0.25">
      <c r="A52" s="435" t="s">
        <v>443</v>
      </c>
      <c r="B52" s="446">
        <v>30000</v>
      </c>
      <c r="C52" s="446">
        <f t="shared" si="7"/>
        <v>30000</v>
      </c>
      <c r="D52" s="446">
        <f t="shared" si="7"/>
        <v>30000</v>
      </c>
      <c r="E52" s="446">
        <f t="shared" si="7"/>
        <v>30000</v>
      </c>
      <c r="F52" s="512">
        <v>0</v>
      </c>
    </row>
    <row r="53" spans="1:16" ht="15" x14ac:dyDescent="0.25">
      <c r="A53" s="435" t="s">
        <v>394</v>
      </c>
      <c r="B53" s="453">
        <v>0.01</v>
      </c>
      <c r="C53" s="453">
        <f t="shared" si="7"/>
        <v>0.01</v>
      </c>
      <c r="D53" s="453">
        <f t="shared" si="7"/>
        <v>0.01</v>
      </c>
      <c r="E53" s="453">
        <f t="shared" si="7"/>
        <v>0.01</v>
      </c>
      <c r="F53" s="512" t="s">
        <v>411</v>
      </c>
    </row>
    <row r="54" spans="1:16" ht="15" x14ac:dyDescent="0.25">
      <c r="F54" s="14"/>
      <c r="G54" s="14"/>
      <c r="H54" s="14"/>
      <c r="I54" s="14"/>
      <c r="J54" s="430"/>
      <c r="K54" s="430"/>
      <c r="L54" s="430"/>
      <c r="M54" s="430"/>
      <c r="N54" s="14"/>
      <c r="O54" s="431"/>
    </row>
    <row r="55" spans="1:16" x14ac:dyDescent="0.2">
      <c r="A55" s="520"/>
      <c r="B55" s="520"/>
      <c r="C55" s="520"/>
      <c r="D55" s="520"/>
      <c r="E55" s="520"/>
    </row>
    <row r="56" spans="1:16" ht="15" x14ac:dyDescent="0.25">
      <c r="A56" s="506" t="s">
        <v>478</v>
      </c>
      <c r="B56" s="438" t="s">
        <v>234</v>
      </c>
      <c r="C56" s="438" t="s">
        <v>235</v>
      </c>
      <c r="D56" s="438" t="s">
        <v>236</v>
      </c>
      <c r="E56" s="438" t="s">
        <v>237</v>
      </c>
      <c r="F56" s="444" t="s">
        <v>480</v>
      </c>
      <c r="G56" s="466" t="s">
        <v>479</v>
      </c>
    </row>
    <row r="57" spans="1:16" ht="15" x14ac:dyDescent="0.25">
      <c r="A57" s="435" t="s">
        <v>404</v>
      </c>
      <c r="B57" s="446">
        <f>ROUND(+B$6*$G57*$B$128,-2)</f>
        <v>33600</v>
      </c>
      <c r="C57" s="446">
        <f t="shared" ref="C57:E60" si="11">ROUND(+C$6*($G57*(1+$F57))*$B$128,-2)</f>
        <v>67200</v>
      </c>
      <c r="D57" s="446">
        <f t="shared" si="11"/>
        <v>98800</v>
      </c>
      <c r="E57" s="446">
        <f t="shared" si="11"/>
        <v>129400</v>
      </c>
      <c r="F57" s="501">
        <v>0.03</v>
      </c>
      <c r="G57" s="445">
        <v>1.0900000000000001</v>
      </c>
      <c r="O57" s="467"/>
      <c r="P57" s="467"/>
    </row>
    <row r="58" spans="1:16" ht="15" x14ac:dyDescent="0.25">
      <c r="A58" s="435" t="s">
        <v>405</v>
      </c>
      <c r="B58" s="446">
        <f>ROUND(+B$6*$G58*$B$128,-2)</f>
        <v>66200</v>
      </c>
      <c r="C58" s="446">
        <f t="shared" si="11"/>
        <v>132500</v>
      </c>
      <c r="D58" s="446">
        <f t="shared" si="11"/>
        <v>194900</v>
      </c>
      <c r="E58" s="446">
        <f t="shared" si="11"/>
        <v>255300</v>
      </c>
      <c r="F58" s="513">
        <f>+$F$57</f>
        <v>0.03</v>
      </c>
      <c r="G58" s="445">
        <v>2.15</v>
      </c>
      <c r="O58" s="467"/>
      <c r="P58" s="467"/>
    </row>
    <row r="59" spans="1:16" ht="15" x14ac:dyDescent="0.25">
      <c r="A59" s="435" t="s">
        <v>406</v>
      </c>
      <c r="B59" s="446">
        <f>ROUND(+B$6*$G59*$B$128,-2)</f>
        <v>0</v>
      </c>
      <c r="C59" s="446">
        <f t="shared" si="11"/>
        <v>0</v>
      </c>
      <c r="D59" s="446">
        <f t="shared" si="11"/>
        <v>0</v>
      </c>
      <c r="E59" s="446">
        <f t="shared" si="11"/>
        <v>0</v>
      </c>
      <c r="F59" s="513">
        <f>+$F$57</f>
        <v>0.03</v>
      </c>
      <c r="G59" s="445">
        <v>0</v>
      </c>
      <c r="O59" s="467"/>
      <c r="P59" s="467"/>
    </row>
    <row r="60" spans="1:16" ht="15" x14ac:dyDescent="0.25">
      <c r="A60" s="435" t="s">
        <v>407</v>
      </c>
      <c r="B60" s="446">
        <f>ROUND(+B$6*$G60*$B$128,-2)</f>
        <v>6800</v>
      </c>
      <c r="C60" s="446">
        <f t="shared" si="11"/>
        <v>13600</v>
      </c>
      <c r="D60" s="446">
        <f t="shared" si="11"/>
        <v>19900</v>
      </c>
      <c r="E60" s="446">
        <f t="shared" si="11"/>
        <v>26100</v>
      </c>
      <c r="F60" s="513">
        <f>+$F$57</f>
        <v>0.03</v>
      </c>
      <c r="G60" s="445">
        <v>0.22</v>
      </c>
      <c r="O60" s="467"/>
      <c r="P60" s="467"/>
    </row>
    <row r="61" spans="1:16" ht="15" x14ac:dyDescent="0.25">
      <c r="A61" s="435" t="s">
        <v>424</v>
      </c>
      <c r="B61" s="446">
        <v>25000</v>
      </c>
      <c r="C61" s="446">
        <f t="shared" ref="C61:E61" si="12">+B61*(1+$F61)</f>
        <v>25000</v>
      </c>
      <c r="D61" s="446">
        <f t="shared" si="12"/>
        <v>25000</v>
      </c>
      <c r="E61" s="446">
        <f t="shared" si="12"/>
        <v>25000</v>
      </c>
      <c r="F61" s="501">
        <v>0</v>
      </c>
      <c r="G61" s="447"/>
      <c r="K61" s="505"/>
      <c r="O61" s="467"/>
      <c r="P61" s="467"/>
    </row>
    <row r="62" spans="1:16" x14ac:dyDescent="0.2">
      <c r="G62" s="3"/>
      <c r="O62" s="14"/>
      <c r="P62" s="14"/>
    </row>
    <row r="63" spans="1:16" s="505" customFormat="1" x14ac:dyDescent="0.2">
      <c r="O63" s="14"/>
      <c r="P63" s="14"/>
    </row>
    <row r="64" spans="1:16" s="505" customFormat="1" ht="15" x14ac:dyDescent="0.25">
      <c r="A64" s="506" t="s">
        <v>423</v>
      </c>
      <c r="B64" s="438" t="s">
        <v>234</v>
      </c>
      <c r="C64" s="438" t="s">
        <v>235</v>
      </c>
      <c r="D64" s="438" t="s">
        <v>236</v>
      </c>
      <c r="E64" s="438" t="s">
        <v>237</v>
      </c>
      <c r="F64" s="444" t="s">
        <v>480</v>
      </c>
      <c r="G64" s="466" t="s">
        <v>479</v>
      </c>
      <c r="O64" s="14"/>
      <c r="P64" s="14"/>
    </row>
    <row r="65" spans="1:16" s="505" customFormat="1" ht="15" x14ac:dyDescent="0.25">
      <c r="A65" s="435" t="s">
        <v>404</v>
      </c>
      <c r="B65" s="446">
        <f>ROUND(+$B$6*$G65*$B$128,-2)</f>
        <v>23400</v>
      </c>
      <c r="C65" s="446">
        <f t="shared" ref="C65:E68" si="13">ROUND(+C$6*($G65*(1+$F65))*$B$128,-2)</f>
        <v>46800</v>
      </c>
      <c r="D65" s="446">
        <f t="shared" si="13"/>
        <v>68900</v>
      </c>
      <c r="E65" s="446">
        <f t="shared" si="13"/>
        <v>90200</v>
      </c>
      <c r="F65" s="501">
        <v>0.03</v>
      </c>
      <c r="G65" s="445">
        <v>0.76</v>
      </c>
      <c r="O65" s="14"/>
      <c r="P65" s="14"/>
    </row>
    <row r="66" spans="1:16" s="505" customFormat="1" ht="15" x14ac:dyDescent="0.25">
      <c r="A66" s="435" t="s">
        <v>405</v>
      </c>
      <c r="B66" s="446">
        <f>ROUND(+$B$6*$G66*$B$128,-2)</f>
        <v>58200</v>
      </c>
      <c r="C66" s="446">
        <f t="shared" si="13"/>
        <v>116500</v>
      </c>
      <c r="D66" s="446">
        <f t="shared" si="13"/>
        <v>171300</v>
      </c>
      <c r="E66" s="446">
        <f t="shared" si="13"/>
        <v>224400</v>
      </c>
      <c r="F66" s="513">
        <f>+$F$65</f>
        <v>0.03</v>
      </c>
      <c r="G66" s="445">
        <v>1.89</v>
      </c>
      <c r="O66" s="14"/>
      <c r="P66" s="14"/>
    </row>
    <row r="67" spans="1:16" s="505" customFormat="1" ht="15" x14ac:dyDescent="0.25">
      <c r="A67" s="435" t="s">
        <v>406</v>
      </c>
      <c r="B67" s="446">
        <f>ROUND(+$B$6*$G67*$B$128,-2)</f>
        <v>0</v>
      </c>
      <c r="C67" s="446">
        <f t="shared" si="13"/>
        <v>0</v>
      </c>
      <c r="D67" s="446">
        <f t="shared" si="13"/>
        <v>0</v>
      </c>
      <c r="E67" s="446">
        <f t="shared" si="13"/>
        <v>0</v>
      </c>
      <c r="F67" s="513">
        <f>+$F$65</f>
        <v>0.03</v>
      </c>
      <c r="G67" s="445">
        <v>0</v>
      </c>
      <c r="O67" s="14"/>
      <c r="P67" s="14"/>
    </row>
    <row r="68" spans="1:16" s="505" customFormat="1" ht="15" x14ac:dyDescent="0.25">
      <c r="A68" s="435" t="s">
        <v>407</v>
      </c>
      <c r="B68" s="446">
        <f>ROUND(+$B$6*$G68*$B$128,-2)</f>
        <v>5500</v>
      </c>
      <c r="C68" s="446">
        <f t="shared" si="13"/>
        <v>11100</v>
      </c>
      <c r="D68" s="446">
        <f t="shared" si="13"/>
        <v>16300</v>
      </c>
      <c r="E68" s="446">
        <f t="shared" si="13"/>
        <v>21400</v>
      </c>
      <c r="F68" s="513">
        <f>+$F$65</f>
        <v>0.03</v>
      </c>
      <c r="G68" s="445">
        <v>0.18</v>
      </c>
      <c r="O68" s="14"/>
      <c r="P68" s="14"/>
    </row>
    <row r="69" spans="1:16" s="505" customFormat="1" x14ac:dyDescent="0.2">
      <c r="O69" s="14"/>
      <c r="P69" s="14"/>
    </row>
    <row r="70" spans="1:16" s="505" customFormat="1" x14ac:dyDescent="0.2">
      <c r="O70" s="14"/>
      <c r="P70" s="14"/>
    </row>
    <row r="71" spans="1:16" ht="15" x14ac:dyDescent="0.25">
      <c r="A71" s="614" t="s">
        <v>474</v>
      </c>
      <c r="B71" s="438" t="s">
        <v>234</v>
      </c>
      <c r="C71" s="438" t="s">
        <v>235</v>
      </c>
      <c r="D71" s="438" t="s">
        <v>236</v>
      </c>
      <c r="E71" s="438" t="s">
        <v>237</v>
      </c>
      <c r="G71" s="444" t="s">
        <v>509</v>
      </c>
      <c r="H71"/>
    </row>
    <row r="72" spans="1:16" ht="15" x14ac:dyDescent="0.25">
      <c r="A72" s="435" t="s">
        <v>473</v>
      </c>
      <c r="B72" s="436">
        <f>+ROUNDUP(B$6/$G$72,0)</f>
        <v>3</v>
      </c>
      <c r="C72" s="436">
        <f>+ROUNDUP(C$6/$G$72,0)</f>
        <v>6</v>
      </c>
      <c r="D72" s="436">
        <f>+ROUNDUP(D$6/$G$72,0)</f>
        <v>8</v>
      </c>
      <c r="E72" s="436">
        <f>+ROUNDUP(E$6/$G$72,0)</f>
        <v>11</v>
      </c>
      <c r="G72" s="514">
        <v>65</v>
      </c>
      <c r="H72"/>
    </row>
    <row r="73" spans="1:16" x14ac:dyDescent="0.2">
      <c r="H73"/>
    </row>
    <row r="75" spans="1:16" ht="15" x14ac:dyDescent="0.25">
      <c r="A75" s="614" t="s">
        <v>475</v>
      </c>
      <c r="B75" s="438" t="s">
        <v>234</v>
      </c>
      <c r="C75" s="438" t="s">
        <v>235</v>
      </c>
      <c r="D75" s="438" t="s">
        <v>236</v>
      </c>
      <c r="E75" s="438" t="s">
        <v>237</v>
      </c>
      <c r="F75"/>
    </row>
    <row r="76" spans="1:16" x14ac:dyDescent="0.2">
      <c r="A76" s="502" t="s">
        <v>322</v>
      </c>
      <c r="B76" s="503">
        <v>1</v>
      </c>
      <c r="C76" s="503">
        <v>1</v>
      </c>
      <c r="D76" s="503">
        <v>1</v>
      </c>
      <c r="E76" s="503">
        <v>1</v>
      </c>
      <c r="F76" s="197"/>
      <c r="G76" s="100"/>
      <c r="H76" s="100"/>
    </row>
    <row r="77" spans="1:16" x14ac:dyDescent="0.2">
      <c r="A77" s="502" t="s">
        <v>508</v>
      </c>
      <c r="B77" s="503">
        <v>1</v>
      </c>
      <c r="C77" s="503">
        <v>2</v>
      </c>
      <c r="D77" s="503">
        <v>2</v>
      </c>
      <c r="E77" s="503">
        <v>2</v>
      </c>
      <c r="F77" s="197"/>
      <c r="G77" s="100"/>
      <c r="H77" s="100"/>
    </row>
    <row r="78" spans="1:16" s="505" customFormat="1" x14ac:dyDescent="0.2">
      <c r="A78" s="502" t="s">
        <v>507</v>
      </c>
      <c r="B78" s="503">
        <v>1</v>
      </c>
      <c r="C78" s="503">
        <v>1</v>
      </c>
      <c r="D78" s="503">
        <v>2</v>
      </c>
      <c r="E78" s="503">
        <v>2</v>
      </c>
      <c r="F78" s="100"/>
      <c r="G78" s="100"/>
      <c r="H78" s="100"/>
    </row>
    <row r="79" spans="1:16" s="505" customFormat="1" x14ac:dyDescent="0.2">
      <c r="A79" s="502" t="s">
        <v>506</v>
      </c>
      <c r="B79" s="503">
        <v>0</v>
      </c>
      <c r="C79" s="503">
        <v>0</v>
      </c>
      <c r="D79" s="503">
        <v>1</v>
      </c>
      <c r="E79" s="503">
        <v>1</v>
      </c>
      <c r="F79" s="100"/>
      <c r="G79" s="100"/>
      <c r="H79" s="100"/>
    </row>
    <row r="80" spans="1:16" x14ac:dyDescent="0.2">
      <c r="A80" s="502" t="s">
        <v>488</v>
      </c>
      <c r="B80" s="503">
        <v>1</v>
      </c>
      <c r="C80" s="503">
        <v>2</v>
      </c>
      <c r="D80" s="503">
        <v>3</v>
      </c>
      <c r="E80" s="503">
        <v>3</v>
      </c>
      <c r="F80" s="197"/>
      <c r="G80" s="100"/>
      <c r="H80" s="100"/>
    </row>
    <row r="81" spans="1:8" x14ac:dyDescent="0.2">
      <c r="A81" s="502" t="s">
        <v>489</v>
      </c>
      <c r="B81" s="503">
        <v>1</v>
      </c>
      <c r="C81" s="503">
        <v>1</v>
      </c>
      <c r="D81" s="503">
        <v>1</v>
      </c>
      <c r="E81" s="503">
        <v>1</v>
      </c>
      <c r="F81" s="197"/>
      <c r="G81" s="100"/>
      <c r="H81" s="100"/>
    </row>
    <row r="82" spans="1:8" x14ac:dyDescent="0.2">
      <c r="A82" s="502" t="s">
        <v>490</v>
      </c>
      <c r="B82" s="503">
        <v>1</v>
      </c>
      <c r="C82" s="503">
        <v>1</v>
      </c>
      <c r="D82" s="503">
        <v>1</v>
      </c>
      <c r="E82" s="503">
        <v>1</v>
      </c>
      <c r="F82"/>
    </row>
    <row r="83" spans="1:8" x14ac:dyDescent="0.2">
      <c r="A83" s="502" t="s">
        <v>493</v>
      </c>
      <c r="B83" s="503">
        <v>7</v>
      </c>
      <c r="C83" s="503">
        <f>13+1</f>
        <v>14</v>
      </c>
      <c r="D83" s="503">
        <f>20+1</f>
        <v>21</v>
      </c>
      <c r="E83" s="503">
        <f>26+2</f>
        <v>28</v>
      </c>
      <c r="F83"/>
    </row>
    <row r="84" spans="1:8" x14ac:dyDescent="0.2">
      <c r="A84" s="502" t="s">
        <v>494</v>
      </c>
      <c r="B84" s="503">
        <v>1</v>
      </c>
      <c r="C84" s="503">
        <v>2</v>
      </c>
      <c r="D84" s="503">
        <v>2</v>
      </c>
      <c r="E84" s="503">
        <v>3</v>
      </c>
      <c r="F84"/>
    </row>
    <row r="85" spans="1:8" x14ac:dyDescent="0.2">
      <c r="A85" s="502" t="s">
        <v>496</v>
      </c>
      <c r="B85" s="503">
        <v>2</v>
      </c>
      <c r="C85" s="503">
        <v>2</v>
      </c>
      <c r="D85" s="503">
        <v>4</v>
      </c>
      <c r="E85" s="503">
        <v>4</v>
      </c>
      <c r="F85"/>
    </row>
    <row r="86" spans="1:8" x14ac:dyDescent="0.2">
      <c r="A86" s="502" t="s">
        <v>500</v>
      </c>
      <c r="B86" s="503">
        <v>0.5</v>
      </c>
      <c r="C86" s="503">
        <v>0.5</v>
      </c>
      <c r="D86" s="503">
        <v>1</v>
      </c>
      <c r="E86" s="503">
        <v>1</v>
      </c>
      <c r="F86"/>
    </row>
    <row r="87" spans="1:8" x14ac:dyDescent="0.2">
      <c r="A87" s="502" t="s">
        <v>495</v>
      </c>
      <c r="B87" s="503">
        <v>3</v>
      </c>
      <c r="C87" s="503">
        <v>4</v>
      </c>
      <c r="D87" s="503">
        <v>5</v>
      </c>
      <c r="E87" s="503">
        <v>7</v>
      </c>
      <c r="F87"/>
    </row>
    <row r="88" spans="1:8" x14ac:dyDescent="0.2">
      <c r="A88" s="502" t="s">
        <v>498</v>
      </c>
      <c r="B88" s="503">
        <v>1</v>
      </c>
      <c r="C88" s="503">
        <v>2</v>
      </c>
      <c r="D88" s="503">
        <v>3</v>
      </c>
      <c r="E88" s="503">
        <v>3</v>
      </c>
      <c r="F88"/>
    </row>
    <row r="89" spans="1:8" x14ac:dyDescent="0.2">
      <c r="A89" s="502" t="s">
        <v>497</v>
      </c>
      <c r="B89" s="503">
        <v>1</v>
      </c>
      <c r="C89" s="503">
        <v>1</v>
      </c>
      <c r="D89" s="503">
        <v>2</v>
      </c>
      <c r="E89" s="503">
        <v>2</v>
      </c>
      <c r="F89"/>
    </row>
    <row r="90" spans="1:8" x14ac:dyDescent="0.2">
      <c r="A90" s="502" t="s">
        <v>492</v>
      </c>
      <c r="B90" s="503">
        <v>0.5</v>
      </c>
      <c r="C90" s="503">
        <v>0.5</v>
      </c>
      <c r="D90" s="503">
        <v>0.5</v>
      </c>
      <c r="E90" s="503">
        <v>0.5</v>
      </c>
      <c r="F90"/>
    </row>
    <row r="91" spans="1:8" x14ac:dyDescent="0.2">
      <c r="A91" s="502" t="s">
        <v>491</v>
      </c>
      <c r="B91" s="503">
        <v>1</v>
      </c>
      <c r="C91" s="503">
        <v>1</v>
      </c>
      <c r="D91" s="503">
        <v>1</v>
      </c>
      <c r="E91" s="503">
        <v>1</v>
      </c>
      <c r="F91"/>
    </row>
    <row r="92" spans="1:8" x14ac:dyDescent="0.2">
      <c r="A92" s="502" t="s">
        <v>501</v>
      </c>
      <c r="B92" s="503">
        <v>0.5</v>
      </c>
      <c r="C92" s="503">
        <v>0.5</v>
      </c>
      <c r="D92" s="503">
        <v>0.5</v>
      </c>
      <c r="E92" s="503">
        <v>0.5</v>
      </c>
      <c r="F92"/>
    </row>
    <row r="93" spans="1:8" x14ac:dyDescent="0.2">
      <c r="A93" s="502" t="s">
        <v>499</v>
      </c>
      <c r="B93" s="503">
        <v>0</v>
      </c>
      <c r="C93" s="503">
        <v>0</v>
      </c>
      <c r="D93" s="503">
        <v>1</v>
      </c>
      <c r="E93" s="503">
        <v>2</v>
      </c>
      <c r="F93"/>
    </row>
    <row r="94" spans="1:8" ht="15" thickBot="1" x14ac:dyDescent="0.25">
      <c r="A94" s="608" t="s">
        <v>502</v>
      </c>
      <c r="B94" s="609">
        <v>1</v>
      </c>
      <c r="C94" s="609">
        <v>2</v>
      </c>
      <c r="D94" s="609">
        <v>3</v>
      </c>
      <c r="E94" s="609">
        <v>3</v>
      </c>
      <c r="F94"/>
    </row>
    <row r="95" spans="1:8" ht="15.75" thickTop="1" x14ac:dyDescent="0.25">
      <c r="A95" s="610" t="s">
        <v>476</v>
      </c>
      <c r="B95" s="611">
        <f>+SUM(B76:B94)</f>
        <v>24.5</v>
      </c>
      <c r="C95" s="611">
        <f>+SUM(C76:C94)</f>
        <v>37.5</v>
      </c>
      <c r="D95" s="611">
        <f>+SUM(D76:D94)</f>
        <v>55</v>
      </c>
      <c r="E95" s="611">
        <f>+SUM(E76:E94)</f>
        <v>66</v>
      </c>
      <c r="F95"/>
    </row>
    <row r="96" spans="1:8" x14ac:dyDescent="0.2">
      <c r="B96" s="100"/>
      <c r="C96" s="100"/>
      <c r="D96" s="100"/>
      <c r="E96" s="100"/>
      <c r="F96"/>
    </row>
    <row r="97" spans="1:15" s="477" customFormat="1" x14ac:dyDescent="0.2">
      <c r="A97" s="502" t="s">
        <v>503</v>
      </c>
      <c r="B97" s="436">
        <v>5</v>
      </c>
      <c r="C97" s="436">
        <v>9</v>
      </c>
      <c r="D97" s="436">
        <v>13</v>
      </c>
      <c r="E97" s="436">
        <v>17</v>
      </c>
      <c r="F97"/>
      <c r="H97" s="504"/>
    </row>
    <row r="98" spans="1:15" s="477" customFormat="1" x14ac:dyDescent="0.2">
      <c r="B98" s="472"/>
      <c r="C98" s="472"/>
      <c r="D98" s="472"/>
      <c r="E98" s="505"/>
      <c r="F98"/>
      <c r="H98" s="504"/>
    </row>
    <row r="99" spans="1:15" x14ac:dyDescent="0.2">
      <c r="F99"/>
    </row>
    <row r="100" spans="1:15" ht="15" x14ac:dyDescent="0.25">
      <c r="A100" s="614" t="s">
        <v>504</v>
      </c>
      <c r="B100" s="438" t="s">
        <v>234</v>
      </c>
      <c r="C100" s="438" t="s">
        <v>235</v>
      </c>
      <c r="D100" s="438" t="s">
        <v>236</v>
      </c>
      <c r="E100" s="438" t="s">
        <v>237</v>
      </c>
      <c r="F100"/>
    </row>
    <row r="101" spans="1:15" x14ac:dyDescent="0.2">
      <c r="A101" s="502" t="s">
        <v>505</v>
      </c>
      <c r="B101" s="469">
        <v>0.25</v>
      </c>
      <c r="C101" s="469">
        <v>0.5</v>
      </c>
      <c r="D101" s="469">
        <v>0.75</v>
      </c>
      <c r="E101" s="469">
        <v>1</v>
      </c>
      <c r="F101"/>
    </row>
    <row r="103" spans="1:15" s="505" customFormat="1" x14ac:dyDescent="0.2"/>
    <row r="104" spans="1:15" ht="15" x14ac:dyDescent="0.25">
      <c r="A104" s="454" t="s">
        <v>395</v>
      </c>
      <c r="B104" s="444" t="s">
        <v>396</v>
      </c>
      <c r="C104" s="14"/>
      <c r="D104" s="14"/>
      <c r="E104" s="14"/>
      <c r="F104" s="14"/>
      <c r="G104" s="14"/>
      <c r="H104" s="14"/>
      <c r="I104" s="14"/>
      <c r="J104" s="430"/>
      <c r="K104" s="430"/>
      <c r="L104" s="430"/>
      <c r="M104" s="430"/>
      <c r="N104" s="14"/>
      <c r="O104" s="14"/>
    </row>
    <row r="105" spans="1:15" ht="15" x14ac:dyDescent="0.25">
      <c r="A105" s="435" t="s">
        <v>397</v>
      </c>
      <c r="B105" s="455">
        <v>6.1069095749155179E-2</v>
      </c>
      <c r="C105" s="14"/>
      <c r="D105" s="14"/>
      <c r="E105" s="14"/>
      <c r="F105" s="14"/>
      <c r="G105" s="14"/>
      <c r="H105" s="14"/>
      <c r="I105" s="14"/>
      <c r="J105" s="456"/>
      <c r="K105" s="457"/>
      <c r="L105" s="457"/>
      <c r="M105" s="458"/>
      <c r="N105" s="14"/>
      <c r="O105" s="14"/>
    </row>
    <row r="106" spans="1:15" ht="15" x14ac:dyDescent="0.25">
      <c r="A106" s="435" t="s">
        <v>398</v>
      </c>
      <c r="B106" s="455">
        <v>5.4163407284507038E-3</v>
      </c>
      <c r="C106" s="14"/>
      <c r="D106" s="14"/>
      <c r="E106" s="14"/>
      <c r="F106" s="14"/>
      <c r="G106" s="14"/>
      <c r="H106" s="14"/>
      <c r="I106" s="14"/>
      <c r="J106" s="456"/>
      <c r="K106" s="457"/>
      <c r="L106" s="457"/>
      <c r="M106" s="458"/>
      <c r="N106" s="14"/>
      <c r="O106" s="14"/>
    </row>
    <row r="107" spans="1:15" ht="15" x14ac:dyDescent="0.25">
      <c r="A107" s="435" t="s">
        <v>399</v>
      </c>
      <c r="B107" s="455">
        <v>9.6675181980097923E-4</v>
      </c>
      <c r="C107" s="14"/>
      <c r="D107" s="14"/>
      <c r="E107" s="14"/>
      <c r="F107" s="14"/>
      <c r="G107" s="14"/>
      <c r="H107" s="14"/>
      <c r="I107" s="14"/>
      <c r="J107" s="456"/>
      <c r="K107" s="457"/>
      <c r="L107" s="457"/>
      <c r="M107" s="458"/>
      <c r="N107" s="14"/>
      <c r="O107" s="14"/>
    </row>
    <row r="108" spans="1:15" ht="15" x14ac:dyDescent="0.25">
      <c r="A108" s="435" t="s">
        <v>400</v>
      </c>
      <c r="B108" s="455">
        <v>3.9031546484547431E-4</v>
      </c>
      <c r="C108" s="14"/>
      <c r="D108" s="14"/>
      <c r="E108" s="14"/>
      <c r="F108" s="14"/>
      <c r="G108" s="14"/>
      <c r="H108" s="14"/>
      <c r="I108" s="14"/>
      <c r="J108" s="456"/>
      <c r="K108" s="457"/>
      <c r="L108" s="457"/>
      <c r="M108" s="458"/>
      <c r="N108" s="14"/>
      <c r="O108" s="14"/>
    </row>
    <row r="109" spans="1:15" ht="15" x14ac:dyDescent="0.25">
      <c r="A109" s="435" t="s">
        <v>401</v>
      </c>
      <c r="B109" s="455">
        <v>2.9308303247864314E-3</v>
      </c>
      <c r="C109" s="14"/>
      <c r="D109" s="14"/>
      <c r="E109" s="14"/>
      <c r="F109" s="14"/>
      <c r="G109" s="14"/>
      <c r="H109" s="459"/>
      <c r="I109" s="459"/>
      <c r="J109" s="456"/>
      <c r="K109" s="457"/>
      <c r="L109" s="457"/>
      <c r="M109" s="458"/>
      <c r="N109" s="14"/>
      <c r="O109" s="14"/>
    </row>
    <row r="110" spans="1:15" ht="15" x14ac:dyDescent="0.25">
      <c r="A110" s="435" t="s">
        <v>100</v>
      </c>
      <c r="B110" s="455">
        <v>1.4500000000000001E-2</v>
      </c>
      <c r="C110" s="14"/>
      <c r="D110" s="14"/>
      <c r="E110" s="14"/>
      <c r="F110" s="14"/>
      <c r="G110" s="14"/>
      <c r="H110" s="460"/>
      <c r="I110" s="460"/>
      <c r="J110" s="456"/>
      <c r="K110" s="457"/>
      <c r="L110" s="457"/>
      <c r="M110" s="458"/>
      <c r="N110" s="14"/>
      <c r="O110" s="14"/>
    </row>
    <row r="111" spans="1:15" ht="15" x14ac:dyDescent="0.25">
      <c r="A111" s="435" t="s">
        <v>98</v>
      </c>
      <c r="B111" s="455">
        <v>6.2E-2</v>
      </c>
      <c r="C111" s="14"/>
      <c r="D111" s="14"/>
      <c r="E111" s="14"/>
      <c r="F111" s="14"/>
      <c r="G111" s="14"/>
      <c r="H111" s="14"/>
      <c r="I111" s="14"/>
      <c r="J111" s="456"/>
      <c r="K111" s="457"/>
      <c r="L111" s="457"/>
      <c r="M111" s="458"/>
      <c r="N111" s="14"/>
      <c r="O111" s="14"/>
    </row>
    <row r="112" spans="1:15" ht="15" x14ac:dyDescent="0.25">
      <c r="A112" s="435" t="s">
        <v>402</v>
      </c>
      <c r="B112" s="455">
        <v>1E-3</v>
      </c>
      <c r="C112" s="14"/>
      <c r="D112" s="14"/>
      <c r="E112" s="14"/>
      <c r="F112" s="14"/>
      <c r="G112" s="14"/>
      <c r="H112" s="14"/>
      <c r="I112" s="14"/>
      <c r="J112" s="432"/>
      <c r="K112" s="433"/>
      <c r="L112" s="433"/>
      <c r="M112" s="433"/>
      <c r="N112" s="14"/>
      <c r="O112" s="14"/>
    </row>
    <row r="113" spans="1:15" ht="15.75" thickBot="1" x14ac:dyDescent="0.3">
      <c r="A113" s="461" t="s">
        <v>403</v>
      </c>
      <c r="B113" s="462">
        <v>3.21290868212155E-2</v>
      </c>
      <c r="C113" s="14"/>
      <c r="D113" s="14"/>
      <c r="E113" s="14"/>
      <c r="F113" s="14"/>
      <c r="G113" s="14"/>
      <c r="H113" s="14"/>
      <c r="I113" s="14"/>
      <c r="J113" s="456"/>
      <c r="K113" s="457"/>
      <c r="L113" s="457"/>
      <c r="M113" s="458"/>
      <c r="N113" s="14"/>
      <c r="O113" s="14"/>
    </row>
    <row r="114" spans="1:15" ht="15.75" thickTop="1" x14ac:dyDescent="0.25">
      <c r="A114" s="463" t="s">
        <v>312</v>
      </c>
      <c r="B114" s="464">
        <f>SUM(B105:B113)</f>
        <v>0.18040242090825426</v>
      </c>
      <c r="C114" s="465"/>
      <c r="D114" s="465"/>
      <c r="E114" s="465"/>
      <c r="F114" s="465"/>
      <c r="G114" s="465"/>
      <c r="H114" s="14"/>
      <c r="I114" s="14"/>
      <c r="J114" s="14"/>
      <c r="K114" s="14"/>
      <c r="L114" s="14"/>
      <c r="M114" s="14"/>
      <c r="N114" s="14"/>
      <c r="O114" s="14"/>
    </row>
    <row r="117" spans="1:15" ht="15" x14ac:dyDescent="0.25">
      <c r="A117" s="444" t="s">
        <v>408</v>
      </c>
      <c r="B117" s="444" t="s">
        <v>409</v>
      </c>
      <c r="C117" s="444" t="s">
        <v>410</v>
      </c>
    </row>
    <row r="118" spans="1:15" ht="15" x14ac:dyDescent="0.25">
      <c r="A118" s="435" t="s">
        <v>301</v>
      </c>
      <c r="B118" s="468">
        <v>20</v>
      </c>
      <c r="C118" s="469">
        <f t="shared" ref="C118:C126" si="14">+B118/$B$128</f>
        <v>0.11363636363636363</v>
      </c>
    </row>
    <row r="119" spans="1:15" ht="15" x14ac:dyDescent="0.25">
      <c r="A119" s="435" t="s">
        <v>302</v>
      </c>
      <c r="B119" s="468">
        <v>18</v>
      </c>
      <c r="C119" s="469">
        <f t="shared" si="14"/>
        <v>0.10227272727272728</v>
      </c>
    </row>
    <row r="120" spans="1:15" ht="15" x14ac:dyDescent="0.25">
      <c r="A120" s="435" t="s">
        <v>303</v>
      </c>
      <c r="B120" s="468">
        <v>19</v>
      </c>
      <c r="C120" s="469">
        <f t="shared" si="14"/>
        <v>0.10795454545454546</v>
      </c>
    </row>
    <row r="121" spans="1:15" ht="15" x14ac:dyDescent="0.25">
      <c r="A121" s="435" t="s">
        <v>304</v>
      </c>
      <c r="B121" s="468">
        <v>16</v>
      </c>
      <c r="C121" s="469">
        <f t="shared" si="14"/>
        <v>9.0909090909090912E-2</v>
      </c>
    </row>
    <row r="122" spans="1:15" ht="15" x14ac:dyDescent="0.25">
      <c r="A122" s="435" t="s">
        <v>305</v>
      </c>
      <c r="B122" s="468">
        <v>12</v>
      </c>
      <c r="C122" s="469">
        <f t="shared" si="14"/>
        <v>6.8181818181818177E-2</v>
      </c>
    </row>
    <row r="123" spans="1:15" ht="15" x14ac:dyDescent="0.25">
      <c r="A123" s="435" t="s">
        <v>306</v>
      </c>
      <c r="B123" s="468">
        <v>20</v>
      </c>
      <c r="C123" s="469">
        <f t="shared" si="14"/>
        <v>0.11363636363636363</v>
      </c>
    </row>
    <row r="124" spans="1:15" ht="15" x14ac:dyDescent="0.25">
      <c r="A124" s="435" t="s">
        <v>307</v>
      </c>
      <c r="B124" s="468">
        <v>20</v>
      </c>
      <c r="C124" s="469">
        <f t="shared" si="14"/>
        <v>0.11363636363636363</v>
      </c>
    </row>
    <row r="125" spans="1:15" ht="15" x14ac:dyDescent="0.25">
      <c r="A125" s="435" t="s">
        <v>308</v>
      </c>
      <c r="B125" s="468">
        <v>13</v>
      </c>
      <c r="C125" s="469">
        <f t="shared" si="14"/>
        <v>7.3863636363636367E-2</v>
      </c>
    </row>
    <row r="126" spans="1:15" ht="15" x14ac:dyDescent="0.25">
      <c r="A126" s="435" t="s">
        <v>309</v>
      </c>
      <c r="B126" s="468">
        <v>21</v>
      </c>
      <c r="C126" s="469">
        <f t="shared" si="14"/>
        <v>0.11931818181818182</v>
      </c>
    </row>
    <row r="127" spans="1:15" ht="15.75" thickBot="1" x14ac:dyDescent="0.3">
      <c r="A127" s="461" t="s">
        <v>310</v>
      </c>
      <c r="B127" s="470">
        <v>17</v>
      </c>
      <c r="C127" s="471">
        <f t="shared" ref="C127:C128" si="15">+B127/$B$128</f>
        <v>9.6590909090909088E-2</v>
      </c>
    </row>
    <row r="128" spans="1:15" ht="15.75" thickTop="1" x14ac:dyDescent="0.25">
      <c r="A128" s="463" t="s">
        <v>312</v>
      </c>
      <c r="B128" s="473">
        <v>176</v>
      </c>
      <c r="C128" s="474">
        <f t="shared" si="15"/>
        <v>1</v>
      </c>
    </row>
  </sheetData>
  <customSheetViews>
    <customSheetView guid="{FF09F429-7712-42C4-8E8D-F960CD33567E}" scale="85">
      <selection activeCell="J24" sqref="J24"/>
      <pageMargins left="0.7" right="0.7" top="0.75" bottom="0.75" header="0.3" footer="0.3"/>
      <pageSetup orientation="portrait" r:id="rId1"/>
    </customSheetView>
    <customSheetView guid="{40BC2F83-0811-4ECE-99F8-980F9280326A}" scale="85" topLeftCell="A6">
      <selection activeCell="B48" sqref="B48"/>
      <pageMargins left="0.7" right="0.7" top="0.75" bottom="0.75" header="0.3" footer="0.3"/>
      <pageSetup orientation="portrait" r:id="rId2"/>
    </customSheetView>
  </customSheetViews>
  <pageMargins left="0.7" right="0.7" top="0.75" bottom="0.75" header="0.3" footer="0.3"/>
  <pageSetup orientation="portrait" r:id="rId3"/>
  <ignoredErrors>
    <ignoredError sqref="B6 B9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K698"/>
  <sheetViews>
    <sheetView zoomScale="75" zoomScaleNormal="100" workbookViewId="0">
      <pane xSplit="4" ySplit="7" topLeftCell="E8" activePane="bottomRight" state="frozen"/>
      <selection activeCell="E8" sqref="E8"/>
      <selection pane="topRight" activeCell="E8" sqref="E8"/>
      <selection pane="bottomLeft" activeCell="E8" sqref="E8"/>
      <selection pane="bottomRight" activeCell="E8" sqref="E8"/>
    </sheetView>
  </sheetViews>
  <sheetFormatPr defaultColWidth="9.140625" defaultRowHeight="14.25" x14ac:dyDescent="0.2"/>
  <cols>
    <col min="1" max="1" width="4.140625" style="33" customWidth="1"/>
    <col min="2" max="2" width="5.42578125" style="14" customWidth="1"/>
    <col min="3" max="3" width="4.5703125" style="14" customWidth="1"/>
    <col min="4" max="4" width="48.7109375" style="3" customWidth="1"/>
    <col min="5" max="5" width="7.42578125" style="4" customWidth="1"/>
    <col min="6" max="6" width="10.140625" style="4" customWidth="1"/>
    <col min="7" max="7" width="14.28515625" style="265" customWidth="1"/>
    <col min="8" max="8" width="92.140625" style="282" customWidth="1"/>
    <col min="9" max="9" width="11.7109375" style="14" customWidth="1"/>
    <col min="10" max="22" width="11.5703125" style="14" customWidth="1"/>
    <col min="23" max="32" width="11.5703125" style="3" customWidth="1"/>
    <col min="33" max="16384" width="9.140625" style="3"/>
  </cols>
  <sheetData>
    <row r="1" spans="1:37" ht="33.75" customHeight="1" x14ac:dyDescent="0.25">
      <c r="A1" s="338" t="s">
        <v>313</v>
      </c>
      <c r="B1" s="337"/>
      <c r="C1" s="337"/>
      <c r="D1" s="339" t="str">
        <f>'Startup Statement of Activities'!$D$1</f>
        <v>KIPP New Orleans</v>
      </c>
      <c r="E1" s="6"/>
      <c r="F1" s="6"/>
      <c r="G1" s="263"/>
      <c r="H1" s="273"/>
      <c r="I1" s="22"/>
      <c r="J1" s="22"/>
      <c r="K1" s="22"/>
      <c r="L1" s="22"/>
    </row>
    <row r="2" spans="1:37" ht="18" customHeight="1" x14ac:dyDescent="0.25">
      <c r="A2" s="653" t="s">
        <v>357</v>
      </c>
      <c r="B2" s="653"/>
      <c r="C2" s="653"/>
      <c r="D2" s="653"/>
      <c r="E2" s="653"/>
      <c r="F2" s="653"/>
      <c r="G2" s="653"/>
      <c r="H2" s="653"/>
      <c r="I2" s="246"/>
      <c r="J2" s="246"/>
      <c r="K2" s="246"/>
      <c r="L2" s="246"/>
      <c r="M2" s="246"/>
      <c r="N2" s="246"/>
      <c r="O2" s="246"/>
      <c r="P2" s="246"/>
      <c r="Q2" s="246"/>
      <c r="R2" s="246"/>
      <c r="S2" s="246"/>
      <c r="T2" s="246"/>
    </row>
    <row r="3" spans="1:37" ht="18" customHeight="1" x14ac:dyDescent="0.25">
      <c r="A3" s="330"/>
      <c r="B3" s="330"/>
      <c r="C3" s="330"/>
      <c r="D3" s="330"/>
      <c r="E3" s="330"/>
      <c r="F3" s="330"/>
      <c r="G3" s="330"/>
      <c r="H3" s="330"/>
      <c r="I3" s="246"/>
      <c r="J3" s="246"/>
      <c r="K3" s="246"/>
      <c r="L3" s="246"/>
      <c r="M3" s="246"/>
      <c r="N3" s="246"/>
      <c r="O3" s="246"/>
      <c r="P3" s="246"/>
      <c r="Q3" s="246"/>
      <c r="R3" s="246"/>
      <c r="S3" s="246"/>
      <c r="T3" s="246"/>
    </row>
    <row r="4" spans="1:37" ht="35.25" customHeight="1" x14ac:dyDescent="0.25">
      <c r="A4" s="661" t="s">
        <v>361</v>
      </c>
      <c r="B4" s="662"/>
      <c r="C4" s="662"/>
      <c r="D4" s="662"/>
      <c r="E4" s="662"/>
      <c r="F4" s="662"/>
      <c r="G4" s="662"/>
      <c r="H4" s="663"/>
      <c r="I4" s="246"/>
      <c r="J4" s="246"/>
      <c r="K4" s="246"/>
      <c r="L4" s="246"/>
      <c r="M4" s="246"/>
      <c r="N4" s="246"/>
      <c r="O4" s="246"/>
      <c r="P4" s="246"/>
      <c r="Q4" s="246"/>
      <c r="R4" s="246"/>
      <c r="S4" s="246"/>
      <c r="T4" s="246"/>
    </row>
    <row r="5" spans="1:37" ht="18.75" customHeight="1" thickBot="1" x14ac:dyDescent="0.3">
      <c r="A5" s="28"/>
      <c r="B5" s="22"/>
      <c r="C5" s="22"/>
      <c r="D5" s="6"/>
      <c r="E5" s="6"/>
      <c r="F5" s="6"/>
      <c r="G5" s="263"/>
      <c r="H5" s="273"/>
      <c r="I5" s="22"/>
      <c r="J5" s="22"/>
      <c r="K5" s="22"/>
      <c r="L5" s="22"/>
    </row>
    <row r="6" spans="1:37" s="2" customFormat="1" ht="15.75" customHeight="1" thickTop="1" x14ac:dyDescent="0.25">
      <c r="A6" s="29"/>
      <c r="B6" s="641" t="s">
        <v>239</v>
      </c>
      <c r="C6" s="642"/>
      <c r="D6" s="642"/>
      <c r="E6" s="644" t="s">
        <v>232</v>
      </c>
      <c r="F6" s="657" t="s">
        <v>233</v>
      </c>
      <c r="G6" s="664" t="s">
        <v>314</v>
      </c>
      <c r="H6" s="659" t="s">
        <v>315</v>
      </c>
      <c r="I6" s="651"/>
      <c r="J6" s="651"/>
      <c r="K6" s="651"/>
      <c r="L6" s="496"/>
      <c r="M6" s="651"/>
      <c r="N6" s="651"/>
      <c r="O6" s="651"/>
      <c r="P6" s="651"/>
      <c r="Q6" s="649"/>
      <c r="R6" s="649"/>
      <c r="S6" s="649"/>
      <c r="T6" s="649"/>
      <c r="U6" s="239"/>
      <c r="V6" s="239"/>
      <c r="W6" s="239"/>
      <c r="X6" s="239"/>
      <c r="Y6" s="239"/>
      <c r="Z6" s="239"/>
      <c r="AA6" s="239"/>
      <c r="AB6" s="239"/>
      <c r="AC6" s="239"/>
      <c r="AD6" s="239"/>
      <c r="AE6" s="239"/>
      <c r="AF6" s="239"/>
      <c r="AG6" s="239"/>
      <c r="AH6" s="239"/>
      <c r="AI6" s="239"/>
      <c r="AJ6" s="239"/>
      <c r="AK6" s="239"/>
    </row>
    <row r="7" spans="1:37" s="41" customFormat="1" ht="15.75" thickBot="1" x14ac:dyDescent="0.3">
      <c r="A7" s="38"/>
      <c r="B7" s="655"/>
      <c r="C7" s="655"/>
      <c r="D7" s="655"/>
      <c r="E7" s="656"/>
      <c r="F7" s="658"/>
      <c r="G7" s="665"/>
      <c r="H7" s="660"/>
      <c r="I7" s="652"/>
      <c r="J7" s="652"/>
      <c r="K7" s="652"/>
      <c r="L7" s="497"/>
      <c r="M7" s="652"/>
      <c r="N7" s="652"/>
      <c r="O7" s="652"/>
      <c r="P7" s="652"/>
      <c r="Q7" s="650"/>
      <c r="R7" s="650"/>
      <c r="S7" s="650"/>
      <c r="T7" s="650"/>
      <c r="U7" s="239"/>
      <c r="V7" s="239"/>
      <c r="W7" s="239"/>
      <c r="X7" s="239"/>
      <c r="Y7" s="239"/>
      <c r="Z7" s="239"/>
      <c r="AA7" s="239"/>
      <c r="AB7" s="239"/>
      <c r="AC7" s="239"/>
      <c r="AD7" s="239"/>
      <c r="AE7" s="239"/>
      <c r="AF7" s="239"/>
      <c r="AG7" s="239"/>
      <c r="AH7" s="239"/>
      <c r="AI7" s="239"/>
      <c r="AJ7" s="239"/>
      <c r="AK7" s="239"/>
    </row>
    <row r="8" spans="1:37" s="40" customFormat="1" ht="20.25" customHeight="1" thickTop="1" x14ac:dyDescent="0.25">
      <c r="A8" s="39"/>
      <c r="B8" s="42" t="s">
        <v>267</v>
      </c>
      <c r="E8" s="70"/>
      <c r="F8" s="245"/>
      <c r="G8" s="300"/>
      <c r="H8" s="274"/>
      <c r="I8" s="487"/>
      <c r="J8" s="487"/>
      <c r="K8" s="487"/>
      <c r="L8" s="487"/>
      <c r="M8" s="487"/>
      <c r="N8" s="487"/>
      <c r="O8" s="487"/>
      <c r="P8" s="487"/>
      <c r="Q8" s="237"/>
      <c r="R8" s="237"/>
      <c r="S8" s="237"/>
      <c r="T8" s="237"/>
      <c r="U8" s="102"/>
      <c r="V8" s="102"/>
      <c r="W8" s="102"/>
      <c r="X8" s="102"/>
      <c r="Y8" s="102"/>
      <c r="Z8" s="102"/>
      <c r="AA8" s="102"/>
      <c r="AB8" s="102"/>
      <c r="AC8" s="102"/>
      <c r="AD8" s="102"/>
      <c r="AE8" s="102"/>
      <c r="AF8" s="102"/>
      <c r="AG8" s="102"/>
      <c r="AH8" s="102"/>
      <c r="AI8" s="102"/>
      <c r="AJ8" s="102"/>
      <c r="AK8" s="102"/>
    </row>
    <row r="9" spans="1:37" ht="3" customHeight="1" x14ac:dyDescent="0.2">
      <c r="A9" s="30"/>
      <c r="B9" s="36"/>
      <c r="C9" s="13"/>
      <c r="D9" s="13"/>
      <c r="E9" s="72"/>
      <c r="F9" s="157"/>
      <c r="G9" s="301"/>
      <c r="H9" s="275"/>
      <c r="I9" s="487"/>
      <c r="J9" s="487"/>
      <c r="K9" s="487"/>
      <c r="L9" s="487"/>
      <c r="M9" s="487"/>
      <c r="N9" s="487"/>
      <c r="O9" s="487"/>
      <c r="P9" s="487"/>
      <c r="Q9" s="237"/>
      <c r="R9" s="237"/>
      <c r="S9" s="237"/>
      <c r="T9" s="237"/>
      <c r="U9" s="102"/>
      <c r="V9" s="102"/>
      <c r="W9" s="102"/>
      <c r="X9" s="102"/>
      <c r="Y9" s="102"/>
      <c r="Z9" s="102"/>
      <c r="AA9" s="102"/>
      <c r="AB9" s="102"/>
      <c r="AC9" s="102"/>
      <c r="AD9" s="102"/>
      <c r="AE9" s="102"/>
      <c r="AF9" s="102"/>
      <c r="AG9" s="102"/>
      <c r="AH9" s="102"/>
      <c r="AI9" s="102"/>
      <c r="AJ9" s="102"/>
      <c r="AK9" s="102"/>
    </row>
    <row r="10" spans="1:37" x14ac:dyDescent="0.2">
      <c r="A10" s="31"/>
      <c r="B10" s="26" t="s">
        <v>32</v>
      </c>
      <c r="C10" s="12"/>
      <c r="D10" s="12"/>
      <c r="E10" s="62"/>
      <c r="F10" s="158"/>
      <c r="G10" s="302"/>
      <c r="H10" s="276"/>
      <c r="I10" s="487"/>
      <c r="J10" s="487"/>
      <c r="K10" s="487"/>
      <c r="L10" s="487"/>
      <c r="M10" s="487"/>
      <c r="N10" s="487"/>
      <c r="O10" s="487"/>
      <c r="P10" s="487"/>
      <c r="Q10" s="237"/>
      <c r="R10" s="237"/>
      <c r="S10" s="237"/>
      <c r="T10" s="237"/>
      <c r="U10" s="102"/>
      <c r="V10" s="102"/>
      <c r="W10" s="102"/>
      <c r="X10" s="102"/>
      <c r="Y10" s="102"/>
      <c r="Z10" s="102"/>
      <c r="AA10" s="102"/>
      <c r="AB10" s="102"/>
      <c r="AC10" s="102"/>
      <c r="AD10" s="102"/>
      <c r="AE10" s="102"/>
      <c r="AF10" s="102"/>
      <c r="AG10" s="102"/>
      <c r="AH10" s="102"/>
      <c r="AI10" s="102"/>
      <c r="AJ10" s="102"/>
      <c r="AK10" s="102"/>
    </row>
    <row r="11" spans="1:37" x14ac:dyDescent="0.2">
      <c r="A11" s="211">
        <v>1</v>
      </c>
      <c r="B11" s="37"/>
      <c r="C11" s="10" t="s">
        <v>293</v>
      </c>
      <c r="D11" s="10"/>
      <c r="E11" s="19"/>
      <c r="F11" s="159" t="s">
        <v>277</v>
      </c>
      <c r="G11" s="303">
        <f>+'KIPP Assumptions'!B$6*SUM('KIPP Assumptions'!B$17,'KIPP Assumptions'!B$19)</f>
        <v>1293250</v>
      </c>
      <c r="H11" s="277"/>
      <c r="I11" s="487"/>
      <c r="J11" s="487"/>
      <c r="K11" s="487"/>
      <c r="L11" s="487"/>
      <c r="M11" s="487"/>
      <c r="N11" s="487"/>
      <c r="O11" s="487"/>
      <c r="P11" s="487"/>
      <c r="Q11" s="237"/>
      <c r="R11" s="237"/>
      <c r="S11" s="237"/>
      <c r="T11" s="237"/>
      <c r="U11" s="102"/>
      <c r="V11" s="102"/>
      <c r="W11" s="102"/>
      <c r="X11" s="102"/>
      <c r="Y11" s="102"/>
      <c r="Z11" s="102"/>
      <c r="AA11" s="102"/>
      <c r="AB11" s="102"/>
      <c r="AC11" s="102"/>
      <c r="AD11" s="102"/>
      <c r="AE11" s="102"/>
      <c r="AF11" s="102"/>
      <c r="AG11" s="102"/>
      <c r="AH11" s="102"/>
      <c r="AI11" s="102"/>
      <c r="AJ11" s="102"/>
      <c r="AK11" s="102"/>
    </row>
    <row r="12" spans="1:37" x14ac:dyDescent="0.2">
      <c r="A12" s="211">
        <v>2</v>
      </c>
      <c r="B12" s="37"/>
      <c r="C12" s="10" t="s">
        <v>35</v>
      </c>
      <c r="D12" s="10"/>
      <c r="E12" s="19"/>
      <c r="F12" s="159" t="s">
        <v>216</v>
      </c>
      <c r="G12" s="303">
        <v>0</v>
      </c>
      <c r="H12" s="277"/>
      <c r="I12" s="487"/>
      <c r="J12" s="487"/>
      <c r="K12" s="487"/>
      <c r="L12" s="487"/>
      <c r="M12" s="487"/>
      <c r="N12" s="487"/>
      <c r="O12" s="487"/>
      <c r="P12" s="487"/>
      <c r="Q12" s="237"/>
      <c r="R12" s="237"/>
      <c r="S12" s="237"/>
      <c r="T12" s="237"/>
      <c r="U12" s="102"/>
      <c r="V12" s="102"/>
      <c r="W12" s="102"/>
      <c r="X12" s="102"/>
      <c r="Y12" s="102"/>
      <c r="Z12" s="102"/>
      <c r="AA12" s="102"/>
      <c r="AB12" s="102"/>
      <c r="AC12" s="102"/>
      <c r="AD12" s="102"/>
      <c r="AE12" s="102"/>
      <c r="AF12" s="102"/>
      <c r="AG12" s="102"/>
      <c r="AH12" s="102"/>
      <c r="AI12" s="102"/>
      <c r="AJ12" s="102"/>
      <c r="AK12" s="102"/>
    </row>
    <row r="13" spans="1:37" x14ac:dyDescent="0.2">
      <c r="A13" s="211">
        <v>3</v>
      </c>
      <c r="B13" s="37"/>
      <c r="C13" s="10" t="s">
        <v>36</v>
      </c>
      <c r="D13" s="10"/>
      <c r="E13" s="19"/>
      <c r="F13" s="159" t="s">
        <v>217</v>
      </c>
      <c r="G13" s="303">
        <v>0</v>
      </c>
      <c r="H13" s="277"/>
      <c r="I13" s="487"/>
      <c r="J13" s="487"/>
      <c r="K13" s="487"/>
      <c r="L13" s="487"/>
      <c r="M13" s="487"/>
      <c r="N13" s="487"/>
      <c r="O13" s="487"/>
      <c r="P13" s="487"/>
      <c r="Q13" s="237"/>
      <c r="R13" s="237"/>
      <c r="S13" s="237"/>
      <c r="T13" s="237"/>
      <c r="U13" s="102"/>
      <c r="V13" s="102"/>
      <c r="W13" s="102"/>
      <c r="X13" s="102"/>
      <c r="Y13" s="102"/>
      <c r="Z13" s="102"/>
      <c r="AA13" s="102"/>
      <c r="AB13" s="102"/>
      <c r="AC13" s="102"/>
      <c r="AD13" s="102"/>
      <c r="AE13" s="102"/>
      <c r="AF13" s="102"/>
      <c r="AG13" s="102"/>
      <c r="AH13" s="102"/>
      <c r="AI13" s="102"/>
      <c r="AJ13" s="102"/>
      <c r="AK13" s="102"/>
    </row>
    <row r="14" spans="1:37" x14ac:dyDescent="0.2">
      <c r="A14" s="211">
        <v>4</v>
      </c>
      <c r="B14" s="37"/>
      <c r="C14" s="10" t="s">
        <v>37</v>
      </c>
      <c r="D14" s="10"/>
      <c r="E14" s="19"/>
      <c r="F14" s="159">
        <v>1800</v>
      </c>
      <c r="G14" s="303">
        <v>0</v>
      </c>
      <c r="H14" s="277"/>
      <c r="I14" s="487"/>
      <c r="J14" s="487"/>
      <c r="K14" s="487"/>
      <c r="L14" s="487"/>
      <c r="M14" s="487"/>
      <c r="N14" s="487"/>
      <c r="O14" s="487"/>
      <c r="P14" s="487"/>
      <c r="Q14" s="237"/>
      <c r="R14" s="237"/>
      <c r="S14" s="237"/>
      <c r="T14" s="237"/>
      <c r="U14" s="102"/>
      <c r="V14" s="102"/>
      <c r="W14" s="102"/>
      <c r="X14" s="102"/>
      <c r="Y14" s="102"/>
      <c r="Z14" s="102"/>
      <c r="AA14" s="102"/>
      <c r="AB14" s="102"/>
      <c r="AC14" s="102"/>
      <c r="AD14" s="102"/>
      <c r="AE14" s="102"/>
      <c r="AF14" s="102"/>
      <c r="AG14" s="102"/>
      <c r="AH14" s="102"/>
      <c r="AI14" s="102"/>
      <c r="AJ14" s="102"/>
      <c r="AK14" s="102"/>
    </row>
    <row r="15" spans="1:37" x14ac:dyDescent="0.2">
      <c r="A15" s="211"/>
      <c r="B15" s="37"/>
      <c r="C15" s="10" t="s">
        <v>38</v>
      </c>
      <c r="D15" s="10"/>
      <c r="E15" s="62"/>
      <c r="F15" s="158"/>
      <c r="G15" s="302"/>
      <c r="H15" s="276"/>
      <c r="I15" s="487"/>
      <c r="J15" s="487"/>
      <c r="K15" s="487"/>
      <c r="L15" s="487"/>
      <c r="M15" s="487"/>
      <c r="N15" s="487"/>
      <c r="O15" s="487"/>
      <c r="P15" s="487"/>
      <c r="Q15" s="237"/>
      <c r="R15" s="237"/>
      <c r="S15" s="237"/>
      <c r="T15" s="237"/>
      <c r="U15" s="102"/>
      <c r="V15" s="102"/>
      <c r="W15" s="102"/>
      <c r="X15" s="102"/>
      <c r="Y15" s="102"/>
      <c r="Z15" s="102"/>
      <c r="AA15" s="102"/>
      <c r="AB15" s="102"/>
      <c r="AC15" s="102"/>
      <c r="AD15" s="102"/>
      <c r="AE15" s="102"/>
      <c r="AF15" s="102"/>
      <c r="AG15" s="102"/>
      <c r="AH15" s="102"/>
      <c r="AI15" s="102"/>
      <c r="AJ15" s="102"/>
      <c r="AK15" s="102"/>
    </row>
    <row r="16" spans="1:37" x14ac:dyDescent="0.2">
      <c r="A16" s="211">
        <v>5</v>
      </c>
      <c r="B16" s="37"/>
      <c r="C16" s="10"/>
      <c r="D16" s="10" t="s">
        <v>39</v>
      </c>
      <c r="E16" s="19"/>
      <c r="F16" s="159" t="s">
        <v>40</v>
      </c>
      <c r="G16" s="303">
        <f>'KIPP Assumptions'!B$45</f>
        <v>285000</v>
      </c>
      <c r="H16" s="277"/>
      <c r="I16" s="487"/>
      <c r="J16" s="487"/>
      <c r="K16" s="487"/>
      <c r="L16" s="487"/>
      <c r="M16" s="487"/>
      <c r="N16" s="487"/>
      <c r="O16" s="487"/>
      <c r="P16" s="487"/>
      <c r="Q16" s="237"/>
      <c r="R16" s="237"/>
      <c r="S16" s="237"/>
      <c r="T16" s="237"/>
      <c r="U16" s="102"/>
      <c r="V16" s="102"/>
      <c r="W16" s="102"/>
      <c r="X16" s="102"/>
      <c r="Y16" s="102"/>
      <c r="Z16" s="102"/>
      <c r="AA16" s="102"/>
      <c r="AB16" s="102"/>
      <c r="AC16" s="102"/>
      <c r="AD16" s="102"/>
      <c r="AE16" s="102"/>
      <c r="AF16" s="102"/>
      <c r="AG16" s="102"/>
      <c r="AH16" s="102"/>
      <c r="AI16" s="102"/>
      <c r="AJ16" s="102"/>
      <c r="AK16" s="102"/>
    </row>
    <row r="17" spans="1:37" x14ac:dyDescent="0.2">
      <c r="A17" s="211">
        <v>6</v>
      </c>
      <c r="B17" s="37"/>
      <c r="C17" s="10"/>
      <c r="D17" s="10" t="s">
        <v>41</v>
      </c>
      <c r="E17" s="19"/>
      <c r="F17" s="159" t="s">
        <v>42</v>
      </c>
      <c r="G17" s="303">
        <v>0</v>
      </c>
      <c r="H17" s="277"/>
      <c r="I17" s="487"/>
      <c r="J17" s="487"/>
      <c r="K17" s="487"/>
      <c r="L17" s="487"/>
      <c r="M17" s="487"/>
      <c r="N17" s="487"/>
      <c r="O17" s="487"/>
      <c r="P17" s="487"/>
      <c r="Q17" s="237"/>
      <c r="R17" s="237"/>
      <c r="S17" s="237"/>
      <c r="T17" s="237"/>
      <c r="U17" s="102"/>
      <c r="V17" s="102"/>
      <c r="W17" s="102"/>
      <c r="X17" s="102"/>
      <c r="Y17" s="102"/>
      <c r="Z17" s="102"/>
      <c r="AA17" s="102"/>
      <c r="AB17" s="102"/>
      <c r="AC17" s="102"/>
      <c r="AD17" s="102"/>
      <c r="AE17" s="102"/>
      <c r="AF17" s="102"/>
      <c r="AG17" s="102"/>
      <c r="AH17" s="102"/>
      <c r="AI17" s="102"/>
      <c r="AJ17" s="102"/>
      <c r="AK17" s="102"/>
    </row>
    <row r="18" spans="1:37" x14ac:dyDescent="0.2">
      <c r="A18" s="213">
        <v>7</v>
      </c>
      <c r="B18" s="43"/>
      <c r="C18" s="44"/>
      <c r="D18" s="44" t="s">
        <v>255</v>
      </c>
      <c r="E18" s="23"/>
      <c r="F18" s="162" t="s">
        <v>218</v>
      </c>
      <c r="G18" s="304">
        <v>0</v>
      </c>
      <c r="H18" s="278"/>
      <c r="I18" s="487"/>
      <c r="J18" s="487"/>
      <c r="K18" s="487"/>
      <c r="L18" s="487"/>
      <c r="M18" s="487"/>
      <c r="N18" s="487"/>
      <c r="O18" s="487"/>
      <c r="P18" s="487"/>
      <c r="Q18" s="237"/>
      <c r="R18" s="237"/>
      <c r="S18" s="237"/>
      <c r="T18" s="237"/>
      <c r="U18" s="102"/>
      <c r="V18" s="102"/>
      <c r="W18" s="102"/>
      <c r="X18" s="102"/>
      <c r="Y18" s="102"/>
      <c r="Z18" s="102"/>
      <c r="AA18" s="102"/>
      <c r="AB18" s="102"/>
      <c r="AC18" s="102"/>
      <c r="AD18" s="102"/>
      <c r="AE18" s="102"/>
      <c r="AF18" s="102"/>
      <c r="AG18" s="102"/>
      <c r="AH18" s="102"/>
      <c r="AI18" s="102"/>
      <c r="AJ18" s="102"/>
      <c r="AK18" s="102"/>
    </row>
    <row r="19" spans="1:37" s="95" customFormat="1" x14ac:dyDescent="0.2">
      <c r="A19" s="215">
        <v>8</v>
      </c>
      <c r="B19" s="92"/>
      <c r="C19" s="83" t="s">
        <v>17</v>
      </c>
      <c r="D19" s="83"/>
      <c r="E19" s="93"/>
      <c r="F19" s="161"/>
      <c r="G19" s="305"/>
      <c r="H19" s="272"/>
      <c r="I19" s="488"/>
      <c r="J19" s="488"/>
      <c r="K19" s="488"/>
      <c r="L19" s="488"/>
      <c r="M19" s="488"/>
      <c r="N19" s="488"/>
      <c r="O19" s="488"/>
      <c r="P19" s="488"/>
      <c r="Q19" s="242"/>
      <c r="R19" s="242"/>
      <c r="S19" s="242"/>
      <c r="T19" s="237"/>
      <c r="U19" s="241"/>
      <c r="V19" s="241"/>
      <c r="W19" s="241"/>
      <c r="X19" s="241"/>
      <c r="Y19" s="241"/>
      <c r="Z19" s="241"/>
      <c r="AA19" s="241"/>
      <c r="AB19" s="241"/>
      <c r="AC19" s="241"/>
      <c r="AD19" s="241"/>
      <c r="AE19" s="241"/>
      <c r="AF19" s="241"/>
      <c r="AG19" s="241"/>
      <c r="AH19" s="241"/>
      <c r="AI19" s="241"/>
      <c r="AJ19" s="241"/>
      <c r="AK19" s="241"/>
    </row>
    <row r="20" spans="1:37" x14ac:dyDescent="0.2">
      <c r="A20" s="213">
        <v>9</v>
      </c>
      <c r="B20" s="43"/>
      <c r="C20" s="44"/>
      <c r="D20" s="44"/>
      <c r="E20" s="23"/>
      <c r="F20" s="162"/>
      <c r="G20" s="304"/>
      <c r="H20" s="278"/>
      <c r="I20" s="487"/>
      <c r="J20" s="487"/>
      <c r="K20" s="487"/>
      <c r="L20" s="487"/>
      <c r="M20" s="487"/>
      <c r="N20" s="487"/>
      <c r="O20" s="487"/>
      <c r="P20" s="487"/>
      <c r="Q20" s="237"/>
      <c r="R20" s="237"/>
      <c r="S20" s="237"/>
      <c r="T20" s="237"/>
      <c r="U20" s="102"/>
      <c r="V20" s="102"/>
      <c r="W20" s="102"/>
      <c r="X20" s="102"/>
      <c r="Y20" s="102"/>
      <c r="Z20" s="102"/>
      <c r="AA20" s="102"/>
      <c r="AB20" s="102"/>
      <c r="AC20" s="102"/>
      <c r="AD20" s="102"/>
      <c r="AE20" s="102"/>
      <c r="AF20" s="102"/>
      <c r="AG20" s="102"/>
      <c r="AH20" s="102"/>
      <c r="AI20" s="102"/>
      <c r="AJ20" s="102"/>
      <c r="AK20" s="102"/>
    </row>
    <row r="21" spans="1:37" x14ac:dyDescent="0.2">
      <c r="A21" s="216">
        <v>10</v>
      </c>
      <c r="B21" s="48" t="s">
        <v>269</v>
      </c>
      <c r="C21" s="7"/>
      <c r="D21" s="49"/>
      <c r="E21" s="50"/>
      <c r="F21" s="163"/>
      <c r="G21" s="306">
        <f>SUM(G11:G20)</f>
        <v>1578250</v>
      </c>
      <c r="H21" s="279"/>
      <c r="I21" s="487"/>
      <c r="J21" s="487"/>
      <c r="K21" s="487"/>
      <c r="L21" s="487"/>
      <c r="M21" s="487"/>
      <c r="N21" s="487"/>
      <c r="O21" s="487"/>
      <c r="P21" s="487"/>
      <c r="Q21" s="237"/>
      <c r="R21" s="237"/>
      <c r="S21" s="237"/>
      <c r="T21" s="237"/>
      <c r="U21" s="102"/>
      <c r="V21" s="102"/>
      <c r="W21" s="102"/>
      <c r="X21" s="102"/>
      <c r="Y21" s="102"/>
      <c r="Z21" s="102"/>
      <c r="AA21" s="102"/>
      <c r="AB21" s="102"/>
      <c r="AC21" s="102"/>
      <c r="AD21" s="102"/>
      <c r="AE21" s="102"/>
      <c r="AF21" s="102"/>
      <c r="AG21" s="102"/>
      <c r="AH21" s="102"/>
      <c r="AI21" s="102"/>
      <c r="AJ21" s="102"/>
      <c r="AK21" s="102"/>
    </row>
    <row r="22" spans="1:37" x14ac:dyDescent="0.2">
      <c r="A22" s="30"/>
      <c r="B22" s="36"/>
      <c r="C22" s="13"/>
      <c r="D22" s="13"/>
      <c r="E22" s="72"/>
      <c r="F22" s="157"/>
      <c r="G22" s="301"/>
      <c r="H22" s="275"/>
      <c r="I22" s="487"/>
      <c r="J22" s="487"/>
      <c r="K22" s="487"/>
      <c r="L22" s="487"/>
      <c r="M22" s="487"/>
      <c r="N22" s="487"/>
      <c r="O22" s="487"/>
      <c r="P22" s="487"/>
      <c r="Q22" s="237"/>
      <c r="R22" s="237"/>
      <c r="S22" s="237"/>
      <c r="T22" s="237"/>
      <c r="U22" s="102"/>
      <c r="V22" s="102"/>
      <c r="W22" s="102"/>
      <c r="X22" s="102"/>
      <c r="Y22" s="102"/>
      <c r="Z22" s="102"/>
      <c r="AA22" s="102"/>
      <c r="AB22" s="102"/>
      <c r="AC22" s="102"/>
      <c r="AD22" s="102"/>
      <c r="AE22" s="102"/>
      <c r="AF22" s="102"/>
      <c r="AG22" s="102"/>
      <c r="AH22" s="102"/>
      <c r="AI22" s="102"/>
      <c r="AJ22" s="102"/>
      <c r="AK22" s="102"/>
    </row>
    <row r="23" spans="1:37" x14ac:dyDescent="0.2">
      <c r="A23" s="31"/>
      <c r="B23" s="26" t="s">
        <v>43</v>
      </c>
      <c r="C23" s="12"/>
      <c r="D23" s="12"/>
      <c r="E23" s="62"/>
      <c r="F23" s="158"/>
      <c r="G23" s="302"/>
      <c r="H23" s="276"/>
      <c r="I23" s="487"/>
      <c r="J23" s="487"/>
      <c r="K23" s="487"/>
      <c r="L23" s="487"/>
      <c r="M23" s="487"/>
      <c r="N23" s="487"/>
      <c r="O23" s="487"/>
      <c r="P23" s="487"/>
      <c r="Q23" s="237"/>
      <c r="R23" s="237"/>
      <c r="S23" s="237"/>
      <c r="T23" s="237"/>
      <c r="U23" s="102"/>
      <c r="V23" s="102"/>
      <c r="W23" s="102"/>
      <c r="X23" s="102"/>
      <c r="Y23" s="102"/>
      <c r="Z23" s="102"/>
      <c r="AA23" s="102"/>
      <c r="AB23" s="102"/>
      <c r="AC23" s="102"/>
      <c r="AD23" s="102"/>
      <c r="AE23" s="102"/>
      <c r="AF23" s="102"/>
      <c r="AG23" s="102"/>
      <c r="AH23" s="102"/>
      <c r="AI23" s="102"/>
      <c r="AJ23" s="102"/>
      <c r="AK23" s="102"/>
    </row>
    <row r="24" spans="1:37" x14ac:dyDescent="0.2">
      <c r="A24" s="32"/>
      <c r="B24" s="37"/>
      <c r="C24" s="10" t="s">
        <v>44</v>
      </c>
      <c r="D24" s="10"/>
      <c r="E24" s="62"/>
      <c r="F24" s="158"/>
      <c r="G24" s="302"/>
      <c r="H24" s="276"/>
      <c r="I24" s="487"/>
      <c r="J24" s="487"/>
      <c r="K24" s="487"/>
      <c r="L24" s="487"/>
      <c r="M24" s="487"/>
      <c r="N24" s="487"/>
      <c r="O24" s="487"/>
      <c r="P24" s="487"/>
      <c r="Q24" s="237"/>
      <c r="R24" s="237"/>
      <c r="S24" s="237"/>
      <c r="T24" s="237"/>
      <c r="U24" s="102"/>
      <c r="V24" s="102"/>
      <c r="W24" s="102"/>
      <c r="X24" s="102"/>
      <c r="Y24" s="102"/>
      <c r="Z24" s="102"/>
      <c r="AA24" s="102"/>
      <c r="AB24" s="102"/>
      <c r="AC24" s="102"/>
      <c r="AD24" s="102"/>
      <c r="AE24" s="102"/>
      <c r="AF24" s="102"/>
      <c r="AG24" s="102"/>
      <c r="AH24" s="102"/>
      <c r="AI24" s="102"/>
      <c r="AJ24" s="102"/>
      <c r="AK24" s="102"/>
    </row>
    <row r="25" spans="1:37" x14ac:dyDescent="0.2">
      <c r="A25" s="211">
        <v>11</v>
      </c>
      <c r="B25" s="37"/>
      <c r="C25" s="10"/>
      <c r="D25" s="10" t="s">
        <v>294</v>
      </c>
      <c r="E25" s="19"/>
      <c r="F25" s="159" t="s">
        <v>20</v>
      </c>
      <c r="G25" s="303">
        <f>+SUMPRODUCT('KIPP Assumptions'!B$7:B$14,'KIPP Assumptions'!B$21:B$28)+'KIPP Assumptions'!B$6*SUM('KIPP Assumptions'!B$18,'KIPP Assumptions'!B$20)</f>
        <v>530946.5</v>
      </c>
      <c r="H25" s="277"/>
      <c r="I25" s="487"/>
      <c r="J25" s="487"/>
      <c r="K25" s="487"/>
      <c r="L25" s="487"/>
      <c r="M25" s="487"/>
      <c r="N25" s="487"/>
      <c r="O25" s="487"/>
      <c r="P25" s="487"/>
      <c r="Q25" s="237"/>
      <c r="R25" s="237"/>
      <c r="S25" s="237"/>
      <c r="T25" s="237"/>
      <c r="U25" s="102"/>
      <c r="V25" s="102"/>
      <c r="W25" s="102"/>
      <c r="X25" s="102"/>
      <c r="Y25" s="102"/>
      <c r="Z25" s="102"/>
      <c r="AA25" s="102"/>
      <c r="AB25" s="102"/>
      <c r="AC25" s="102"/>
      <c r="AD25" s="102"/>
      <c r="AE25" s="102"/>
      <c r="AF25" s="102"/>
      <c r="AG25" s="102"/>
      <c r="AH25" s="102"/>
      <c r="AI25" s="102"/>
      <c r="AJ25" s="102"/>
      <c r="AK25" s="102"/>
    </row>
    <row r="26" spans="1:37" x14ac:dyDescent="0.2">
      <c r="A26" s="211">
        <v>12</v>
      </c>
      <c r="B26" s="37"/>
      <c r="C26" s="10"/>
      <c r="D26" s="10" t="s">
        <v>45</v>
      </c>
      <c r="E26" s="19"/>
      <c r="F26" s="159" t="s">
        <v>46</v>
      </c>
      <c r="G26" s="303">
        <f>+'KIPP Assumptions'!B$41</f>
        <v>50000</v>
      </c>
      <c r="H26" s="277"/>
      <c r="I26" s="487"/>
      <c r="J26" s="487"/>
      <c r="K26" s="487"/>
      <c r="L26" s="487"/>
      <c r="M26" s="487"/>
      <c r="N26" s="487"/>
      <c r="O26" s="487"/>
      <c r="P26" s="487"/>
      <c r="Q26" s="237"/>
      <c r="R26" s="237"/>
      <c r="S26" s="237"/>
      <c r="T26" s="237"/>
      <c r="U26" s="102"/>
      <c r="V26" s="102"/>
      <c r="W26" s="102"/>
      <c r="X26" s="102"/>
      <c r="Y26" s="102"/>
      <c r="Z26" s="102"/>
      <c r="AA26" s="102"/>
      <c r="AB26" s="102"/>
      <c r="AC26" s="102"/>
      <c r="AD26" s="102"/>
      <c r="AE26" s="102"/>
      <c r="AF26" s="102"/>
      <c r="AG26" s="102"/>
      <c r="AH26" s="102"/>
      <c r="AI26" s="102"/>
      <c r="AJ26" s="102"/>
      <c r="AK26" s="102"/>
    </row>
    <row r="27" spans="1:37" x14ac:dyDescent="0.2">
      <c r="A27" s="211"/>
      <c r="B27" s="37"/>
      <c r="C27" s="10" t="s">
        <v>47</v>
      </c>
      <c r="D27" s="10"/>
      <c r="E27" s="62"/>
      <c r="F27" s="158"/>
      <c r="G27" s="302"/>
      <c r="H27" s="276"/>
      <c r="I27" s="487"/>
      <c r="J27" s="487"/>
      <c r="K27" s="487"/>
      <c r="L27" s="487"/>
      <c r="M27" s="487"/>
      <c r="N27" s="487"/>
      <c r="O27" s="487"/>
      <c r="P27" s="487"/>
      <c r="Q27" s="237"/>
      <c r="R27" s="237"/>
      <c r="S27" s="237"/>
      <c r="T27" s="237"/>
      <c r="U27" s="102"/>
      <c r="V27" s="102"/>
      <c r="W27" s="102"/>
      <c r="X27" s="102"/>
      <c r="Y27" s="102"/>
      <c r="Z27" s="102"/>
      <c r="AA27" s="102"/>
      <c r="AB27" s="102"/>
      <c r="AC27" s="102"/>
      <c r="AD27" s="102"/>
      <c r="AE27" s="102"/>
      <c r="AF27" s="102"/>
      <c r="AG27" s="102"/>
      <c r="AH27" s="102"/>
      <c r="AI27" s="102"/>
      <c r="AJ27" s="102"/>
      <c r="AK27" s="102"/>
    </row>
    <row r="28" spans="1:37" x14ac:dyDescent="0.2">
      <c r="A28" s="211">
        <v>13</v>
      </c>
      <c r="B28" s="37"/>
      <c r="C28" s="10"/>
      <c r="D28" s="10" t="s">
        <v>48</v>
      </c>
      <c r="E28" s="19"/>
      <c r="F28" s="159" t="s">
        <v>49</v>
      </c>
      <c r="G28" s="303"/>
      <c r="H28" s="277"/>
      <c r="I28" s="487"/>
      <c r="J28" s="487"/>
      <c r="K28" s="487"/>
      <c r="L28" s="487"/>
      <c r="M28" s="487"/>
      <c r="N28" s="487"/>
      <c r="O28" s="487"/>
      <c r="P28" s="487"/>
      <c r="Q28" s="237"/>
      <c r="R28" s="237"/>
      <c r="S28" s="237"/>
      <c r="T28" s="237"/>
      <c r="U28" s="102"/>
      <c r="V28" s="102"/>
      <c r="W28" s="102"/>
      <c r="X28" s="102"/>
      <c r="Y28" s="102"/>
      <c r="Z28" s="102"/>
      <c r="AA28" s="102"/>
      <c r="AB28" s="102"/>
      <c r="AC28" s="102"/>
      <c r="AD28" s="102"/>
      <c r="AE28" s="102"/>
      <c r="AF28" s="102"/>
      <c r="AG28" s="102"/>
      <c r="AH28" s="102"/>
      <c r="AI28" s="102"/>
      <c r="AJ28" s="102"/>
      <c r="AK28" s="102"/>
    </row>
    <row r="29" spans="1:37" x14ac:dyDescent="0.2">
      <c r="A29" s="211">
        <v>14</v>
      </c>
      <c r="B29" s="37"/>
      <c r="C29" s="10"/>
      <c r="D29" s="10" t="s">
        <v>50</v>
      </c>
      <c r="E29" s="19"/>
      <c r="F29" s="159" t="s">
        <v>51</v>
      </c>
      <c r="G29" s="303"/>
      <c r="H29" s="277"/>
      <c r="I29" s="487"/>
      <c r="J29" s="487"/>
      <c r="K29" s="487"/>
      <c r="L29" s="487"/>
      <c r="M29" s="487"/>
      <c r="N29" s="487"/>
      <c r="O29" s="487"/>
      <c r="P29" s="487"/>
      <c r="Q29" s="237"/>
      <c r="R29" s="237"/>
      <c r="S29" s="237"/>
      <c r="T29" s="237"/>
      <c r="U29" s="102"/>
      <c r="V29" s="102"/>
      <c r="W29" s="102"/>
      <c r="X29" s="102"/>
      <c r="Y29" s="102"/>
      <c r="Z29" s="102"/>
      <c r="AA29" s="102"/>
      <c r="AB29" s="102"/>
      <c r="AC29" s="102"/>
      <c r="AD29" s="102"/>
      <c r="AE29" s="102"/>
      <c r="AF29" s="102"/>
      <c r="AG29" s="102"/>
      <c r="AH29" s="102"/>
      <c r="AI29" s="102"/>
      <c r="AJ29" s="102"/>
      <c r="AK29" s="102"/>
    </row>
    <row r="30" spans="1:37" x14ac:dyDescent="0.2">
      <c r="A30" s="213">
        <v>15</v>
      </c>
      <c r="B30" s="43"/>
      <c r="C30" s="44"/>
      <c r="D30" s="44" t="s">
        <v>52</v>
      </c>
      <c r="E30" s="23"/>
      <c r="F30" s="162" t="s">
        <v>53</v>
      </c>
      <c r="G30" s="304">
        <f>+'KIPP Assumptions'!B$39+'KIPP Assumptions'!B$40</f>
        <v>92000</v>
      </c>
      <c r="H30" s="278"/>
      <c r="I30" s="487"/>
      <c r="J30" s="487"/>
      <c r="K30" s="487"/>
      <c r="L30" s="487"/>
      <c r="M30" s="487"/>
      <c r="N30" s="487"/>
      <c r="O30" s="487"/>
      <c r="P30" s="487"/>
      <c r="Q30" s="237"/>
      <c r="R30" s="237"/>
      <c r="S30" s="237"/>
      <c r="T30" s="237"/>
      <c r="U30" s="102"/>
      <c r="V30" s="102"/>
      <c r="W30" s="102"/>
      <c r="X30" s="102"/>
      <c r="Y30" s="102"/>
      <c r="Z30" s="102"/>
      <c r="AA30" s="102"/>
      <c r="AB30" s="102"/>
      <c r="AC30" s="102"/>
      <c r="AD30" s="102"/>
      <c r="AE30" s="102"/>
      <c r="AF30" s="102"/>
      <c r="AG30" s="102"/>
      <c r="AH30" s="102"/>
      <c r="AI30" s="102"/>
      <c r="AJ30" s="102"/>
      <c r="AK30" s="102"/>
    </row>
    <row r="31" spans="1:37" s="95" customFormat="1" x14ac:dyDescent="0.2">
      <c r="A31" s="215">
        <v>16</v>
      </c>
      <c r="B31" s="92"/>
      <c r="C31" s="83" t="s">
        <v>17</v>
      </c>
      <c r="D31" s="83"/>
      <c r="E31" s="93"/>
      <c r="F31" s="161"/>
      <c r="G31" s="305"/>
      <c r="H31" s="272"/>
      <c r="I31" s="488"/>
      <c r="J31" s="488"/>
      <c r="K31" s="488"/>
      <c r="L31" s="488"/>
      <c r="M31" s="488"/>
      <c r="N31" s="488"/>
      <c r="O31" s="488"/>
      <c r="P31" s="488"/>
      <c r="Q31" s="242"/>
      <c r="R31" s="242"/>
      <c r="S31" s="242"/>
      <c r="T31" s="237"/>
      <c r="U31" s="241"/>
      <c r="V31" s="241"/>
      <c r="W31" s="241"/>
      <c r="X31" s="241"/>
      <c r="Y31" s="241"/>
      <c r="Z31" s="241"/>
      <c r="AA31" s="241"/>
      <c r="AB31" s="241"/>
      <c r="AC31" s="241"/>
      <c r="AD31" s="241"/>
      <c r="AE31" s="241"/>
      <c r="AF31" s="241"/>
      <c r="AG31" s="241"/>
      <c r="AH31" s="241"/>
      <c r="AI31" s="241"/>
      <c r="AJ31" s="241"/>
      <c r="AK31" s="241"/>
    </row>
    <row r="32" spans="1:37" x14ac:dyDescent="0.2">
      <c r="A32" s="213">
        <v>17</v>
      </c>
      <c r="B32" s="43"/>
      <c r="C32" s="44"/>
      <c r="D32" s="44"/>
      <c r="E32" s="23"/>
      <c r="F32" s="162"/>
      <c r="G32" s="304"/>
      <c r="H32" s="278"/>
      <c r="I32" s="487"/>
      <c r="J32" s="487"/>
      <c r="K32" s="487"/>
      <c r="L32" s="487"/>
      <c r="M32" s="487"/>
      <c r="N32" s="487"/>
      <c r="O32" s="487"/>
      <c r="P32" s="487"/>
      <c r="Q32" s="237"/>
      <c r="R32" s="237"/>
      <c r="S32" s="237"/>
      <c r="T32" s="237"/>
      <c r="U32" s="102"/>
      <c r="V32" s="102"/>
      <c r="W32" s="102"/>
      <c r="X32" s="102"/>
      <c r="Y32" s="102"/>
      <c r="Z32" s="102"/>
      <c r="AA32" s="102"/>
      <c r="AB32" s="102"/>
      <c r="AC32" s="102"/>
      <c r="AD32" s="102"/>
      <c r="AE32" s="102"/>
      <c r="AF32" s="102"/>
      <c r="AG32" s="102"/>
      <c r="AH32" s="102"/>
      <c r="AI32" s="102"/>
      <c r="AJ32" s="102"/>
      <c r="AK32" s="102"/>
    </row>
    <row r="33" spans="1:37" ht="15" thickBot="1" x14ac:dyDescent="0.25">
      <c r="A33" s="247">
        <v>18</v>
      </c>
      <c r="B33" s="248" t="s">
        <v>270</v>
      </c>
      <c r="C33" s="249"/>
      <c r="D33" s="249"/>
      <c r="E33" s="250"/>
      <c r="F33" s="251"/>
      <c r="G33" s="307">
        <f>SUM(G24:G32)</f>
        <v>672946.5</v>
      </c>
      <c r="H33" s="280"/>
      <c r="I33" s="487"/>
      <c r="J33" s="487"/>
      <c r="K33" s="487"/>
      <c r="L33" s="487"/>
      <c r="M33" s="487"/>
      <c r="N33" s="487"/>
      <c r="O33" s="487"/>
      <c r="P33" s="487"/>
      <c r="Q33" s="237"/>
      <c r="R33" s="237"/>
      <c r="S33" s="237"/>
      <c r="T33" s="237"/>
      <c r="U33" s="102"/>
      <c r="V33" s="102"/>
      <c r="W33" s="102"/>
      <c r="X33" s="102"/>
      <c r="Y33" s="102"/>
      <c r="Z33" s="102"/>
      <c r="AA33" s="102"/>
      <c r="AB33" s="102"/>
      <c r="AC33" s="102"/>
      <c r="AD33" s="102"/>
      <c r="AE33" s="102"/>
      <c r="AF33" s="102"/>
      <c r="AG33" s="102"/>
      <c r="AH33" s="102"/>
      <c r="AI33" s="102"/>
      <c r="AJ33" s="102"/>
      <c r="AK33" s="102"/>
    </row>
    <row r="34" spans="1:37" s="102" customFormat="1" ht="15" thickTop="1" x14ac:dyDescent="0.2">
      <c r="A34" s="101"/>
      <c r="E34" s="103"/>
      <c r="F34" s="103"/>
      <c r="G34" s="264"/>
      <c r="H34" s="281"/>
    </row>
    <row r="35" spans="1:37" s="102" customFormat="1" x14ac:dyDescent="0.2">
      <c r="A35" s="101"/>
      <c r="E35" s="103"/>
      <c r="F35" s="103"/>
      <c r="G35" s="264"/>
      <c r="H35" s="281"/>
    </row>
    <row r="36" spans="1:37" s="102" customFormat="1" x14ac:dyDescent="0.2">
      <c r="A36" s="101"/>
      <c r="E36" s="103"/>
      <c r="F36" s="103"/>
      <c r="G36" s="264"/>
      <c r="H36" s="281"/>
    </row>
    <row r="37" spans="1:37" s="102" customFormat="1" x14ac:dyDescent="0.2">
      <c r="A37" s="101"/>
      <c r="E37" s="103"/>
      <c r="F37" s="103"/>
      <c r="G37" s="264"/>
      <c r="H37" s="281"/>
    </row>
    <row r="38" spans="1:37" s="102" customFormat="1" ht="42" customHeight="1" x14ac:dyDescent="0.2">
      <c r="A38" s="654" t="s">
        <v>10</v>
      </c>
      <c r="B38" s="654"/>
      <c r="C38" s="654"/>
      <c r="D38" s="654"/>
      <c r="E38" s="654"/>
      <c r="F38" s="654"/>
      <c r="G38" s="654"/>
      <c r="H38" s="654"/>
      <c r="I38" s="478"/>
      <c r="J38" s="478"/>
      <c r="K38" s="478"/>
      <c r="L38" s="478"/>
    </row>
    <row r="39" spans="1:37" s="102" customFormat="1" x14ac:dyDescent="0.2">
      <c r="A39" s="101"/>
      <c r="E39" s="103"/>
      <c r="F39" s="103"/>
      <c r="G39" s="264"/>
      <c r="H39" s="281"/>
    </row>
    <row r="40" spans="1:37" s="102" customFormat="1" ht="15" thickBot="1" x14ac:dyDescent="0.25">
      <c r="A40" s="101"/>
      <c r="E40" s="103"/>
      <c r="F40" s="103"/>
      <c r="G40" s="264"/>
      <c r="H40" s="281"/>
    </row>
    <row r="41" spans="1:37" ht="15" thickTop="1" x14ac:dyDescent="0.2">
      <c r="A41" s="252"/>
      <c r="B41" s="253" t="s">
        <v>54</v>
      </c>
      <c r="C41" s="254"/>
      <c r="D41" s="254"/>
      <c r="E41" s="255"/>
      <c r="F41" s="256"/>
      <c r="G41" s="308"/>
      <c r="H41" s="297"/>
      <c r="I41" s="487"/>
      <c r="J41" s="487"/>
      <c r="K41" s="487"/>
      <c r="L41" s="487"/>
      <c r="M41" s="487"/>
      <c r="N41" s="487"/>
      <c r="O41" s="487"/>
      <c r="P41" s="487"/>
      <c r="Q41" s="237"/>
      <c r="R41" s="237"/>
      <c r="S41" s="237"/>
      <c r="T41" s="237"/>
      <c r="U41" s="102"/>
      <c r="V41" s="102"/>
      <c r="W41" s="102"/>
      <c r="X41" s="102"/>
      <c r="Y41" s="102"/>
    </row>
    <row r="42" spans="1:37" x14ac:dyDescent="0.2">
      <c r="A42" s="211"/>
      <c r="B42" s="37"/>
      <c r="C42" s="10" t="s">
        <v>256</v>
      </c>
      <c r="D42" s="10"/>
      <c r="E42" s="62"/>
      <c r="F42" s="158"/>
      <c r="G42" s="302"/>
      <c r="H42" s="267"/>
      <c r="I42" s="487"/>
      <c r="J42" s="487"/>
      <c r="K42" s="487"/>
      <c r="L42" s="487"/>
      <c r="M42" s="487"/>
      <c r="N42" s="487"/>
      <c r="O42" s="487"/>
      <c r="P42" s="487"/>
      <c r="Q42" s="237"/>
      <c r="R42" s="237"/>
      <c r="S42" s="237"/>
      <c r="T42" s="237"/>
      <c r="U42" s="102"/>
      <c r="V42" s="102"/>
      <c r="W42" s="102"/>
      <c r="X42" s="102"/>
      <c r="Y42" s="102"/>
    </row>
    <row r="43" spans="1:37" x14ac:dyDescent="0.2">
      <c r="A43" s="211">
        <v>19</v>
      </c>
      <c r="B43" s="37"/>
      <c r="C43" s="10"/>
      <c r="D43" s="10" t="s">
        <v>55</v>
      </c>
      <c r="E43" s="19"/>
      <c r="F43" s="159" t="s">
        <v>56</v>
      </c>
      <c r="G43" s="303"/>
      <c r="H43" s="268"/>
      <c r="I43" s="487"/>
      <c r="J43" s="487"/>
      <c r="K43" s="487"/>
      <c r="L43" s="487"/>
      <c r="M43" s="487"/>
      <c r="N43" s="487"/>
      <c r="O43" s="487"/>
      <c r="P43" s="487"/>
      <c r="Q43" s="237"/>
      <c r="R43" s="237"/>
      <c r="S43" s="237"/>
      <c r="T43" s="237"/>
      <c r="U43" s="102"/>
      <c r="V43" s="102"/>
      <c r="W43" s="102"/>
      <c r="X43" s="102"/>
      <c r="Y43" s="102"/>
    </row>
    <row r="44" spans="1:37" x14ac:dyDescent="0.2">
      <c r="A44" s="211"/>
      <c r="B44" s="37"/>
      <c r="C44" s="10" t="s">
        <v>257</v>
      </c>
      <c r="D44" s="10"/>
      <c r="E44" s="62"/>
      <c r="F44" s="158"/>
      <c r="G44" s="302"/>
      <c r="H44" s="267"/>
      <c r="I44" s="487"/>
      <c r="J44" s="487"/>
      <c r="K44" s="487"/>
      <c r="L44" s="487"/>
      <c r="M44" s="487"/>
      <c r="N44" s="487"/>
      <c r="O44" s="487"/>
      <c r="P44" s="487"/>
      <c r="Q44" s="237"/>
      <c r="R44" s="237"/>
      <c r="S44" s="237"/>
      <c r="T44" s="237"/>
      <c r="U44" s="102"/>
      <c r="V44" s="102"/>
      <c r="W44" s="102"/>
      <c r="X44" s="102"/>
      <c r="Y44" s="102"/>
    </row>
    <row r="45" spans="1:37" x14ac:dyDescent="0.2">
      <c r="A45" s="211">
        <v>20</v>
      </c>
      <c r="B45" s="37"/>
      <c r="C45" s="10"/>
      <c r="D45" s="10" t="s">
        <v>57</v>
      </c>
      <c r="E45" s="19"/>
      <c r="F45" s="159" t="s">
        <v>58</v>
      </c>
      <c r="G45" s="303"/>
      <c r="H45" s="268"/>
      <c r="I45" s="487"/>
      <c r="J45" s="487"/>
      <c r="K45" s="487"/>
      <c r="L45" s="487"/>
      <c r="M45" s="487"/>
      <c r="N45" s="487"/>
      <c r="O45" s="487"/>
      <c r="P45" s="487"/>
      <c r="Q45" s="237"/>
      <c r="R45" s="237"/>
      <c r="S45" s="237"/>
      <c r="T45" s="237"/>
      <c r="U45" s="102"/>
      <c r="V45" s="102"/>
      <c r="W45" s="102"/>
      <c r="X45" s="102"/>
      <c r="Y45" s="102"/>
    </row>
    <row r="46" spans="1:37" x14ac:dyDescent="0.2">
      <c r="A46" s="211"/>
      <c r="B46" s="37"/>
      <c r="C46" s="10" t="s">
        <v>21</v>
      </c>
      <c r="D46" s="10"/>
      <c r="E46" s="62"/>
      <c r="F46" s="158"/>
      <c r="G46" s="302"/>
      <c r="H46" s="267"/>
      <c r="I46" s="487"/>
      <c r="J46" s="487"/>
      <c r="K46" s="487"/>
      <c r="L46" s="487"/>
      <c r="M46" s="487"/>
      <c r="N46" s="487"/>
      <c r="O46" s="487"/>
      <c r="P46" s="487"/>
      <c r="Q46" s="237"/>
      <c r="R46" s="237"/>
      <c r="S46" s="237"/>
      <c r="T46" s="237"/>
      <c r="U46" s="102"/>
      <c r="V46" s="102"/>
      <c r="W46" s="102"/>
      <c r="X46" s="102"/>
      <c r="Y46" s="102"/>
    </row>
    <row r="47" spans="1:37" x14ac:dyDescent="0.2">
      <c r="A47" s="211">
        <v>21</v>
      </c>
      <c r="B47" s="37"/>
      <c r="C47" s="10"/>
      <c r="D47" s="10" t="s">
        <v>59</v>
      </c>
      <c r="E47" s="19"/>
      <c r="F47" s="159" t="s">
        <v>60</v>
      </c>
      <c r="G47" s="303">
        <f>+SUM('KIPP Assumptions'!B$57:B$60)</f>
        <v>106600</v>
      </c>
      <c r="H47" s="268"/>
      <c r="I47" s="487"/>
      <c r="J47" s="487"/>
      <c r="K47" s="487"/>
      <c r="L47" s="487"/>
      <c r="M47" s="487"/>
      <c r="N47" s="487"/>
      <c r="O47" s="487"/>
      <c r="P47" s="487"/>
      <c r="Q47" s="237"/>
      <c r="R47" s="237"/>
      <c r="S47" s="237"/>
      <c r="T47" s="237"/>
      <c r="U47" s="102"/>
      <c r="V47" s="102"/>
      <c r="W47" s="102"/>
      <c r="X47" s="102"/>
      <c r="Y47" s="102"/>
    </row>
    <row r="48" spans="1:37" x14ac:dyDescent="0.2">
      <c r="A48" s="211"/>
      <c r="B48" s="37"/>
      <c r="C48" s="10"/>
      <c r="D48" s="10" t="s">
        <v>61</v>
      </c>
      <c r="E48" s="62"/>
      <c r="F48" s="158"/>
      <c r="G48" s="302"/>
      <c r="H48" s="267"/>
      <c r="I48" s="487"/>
      <c r="J48" s="487"/>
      <c r="K48" s="487"/>
      <c r="L48" s="487"/>
      <c r="M48" s="487"/>
      <c r="N48" s="487"/>
      <c r="O48" s="487"/>
      <c r="P48" s="487"/>
      <c r="Q48" s="237"/>
      <c r="R48" s="237"/>
      <c r="S48" s="237"/>
      <c r="T48" s="237"/>
      <c r="U48" s="102"/>
      <c r="V48" s="102"/>
      <c r="W48" s="102"/>
      <c r="X48" s="102"/>
      <c r="Y48" s="102"/>
    </row>
    <row r="49" spans="1:25" x14ac:dyDescent="0.2">
      <c r="A49" s="211">
        <v>22</v>
      </c>
      <c r="B49" s="37"/>
      <c r="C49" s="10"/>
      <c r="D49" s="10" t="s">
        <v>258</v>
      </c>
      <c r="E49" s="19"/>
      <c r="F49" s="159" t="s">
        <v>62</v>
      </c>
      <c r="G49" s="303">
        <f>+'KIPP Assumptions'!B$35</f>
        <v>120000</v>
      </c>
      <c r="H49" s="268"/>
      <c r="I49" s="487"/>
      <c r="J49" s="487"/>
      <c r="K49" s="487"/>
      <c r="L49" s="487"/>
      <c r="M49" s="487"/>
      <c r="N49" s="487"/>
      <c r="O49" s="487"/>
      <c r="P49" s="487"/>
      <c r="Q49" s="237"/>
      <c r="R49" s="237"/>
      <c r="S49" s="237"/>
      <c r="T49" s="237"/>
      <c r="U49" s="102"/>
      <c r="V49" s="102"/>
      <c r="W49" s="102"/>
      <c r="X49" s="102"/>
      <c r="Y49" s="102"/>
    </row>
    <row r="50" spans="1:25" x14ac:dyDescent="0.2">
      <c r="A50" s="211">
        <v>23</v>
      </c>
      <c r="B50" s="37"/>
      <c r="C50" s="10"/>
      <c r="D50" s="10" t="s">
        <v>259</v>
      </c>
      <c r="E50" s="19"/>
      <c r="F50" s="159" t="s">
        <v>63</v>
      </c>
      <c r="G50" s="303">
        <f>+'KIPP Assumptions'!B$36</f>
        <v>0</v>
      </c>
      <c r="H50" s="268"/>
      <c r="I50" s="487"/>
      <c r="J50" s="487"/>
      <c r="K50" s="487"/>
      <c r="L50" s="487"/>
      <c r="M50" s="487"/>
      <c r="N50" s="487"/>
      <c r="O50" s="487"/>
      <c r="P50" s="487"/>
      <c r="Q50" s="237"/>
      <c r="R50" s="237"/>
      <c r="S50" s="237"/>
      <c r="T50" s="237"/>
      <c r="U50" s="102"/>
      <c r="V50" s="102"/>
      <c r="W50" s="102"/>
      <c r="X50" s="102"/>
      <c r="Y50" s="102"/>
    </row>
    <row r="51" spans="1:25" x14ac:dyDescent="0.2">
      <c r="A51" s="211">
        <v>24</v>
      </c>
      <c r="B51" s="37"/>
      <c r="C51" s="10"/>
      <c r="D51" s="10" t="s">
        <v>260</v>
      </c>
      <c r="E51" s="19"/>
      <c r="F51" s="159" t="s">
        <v>64</v>
      </c>
      <c r="G51" s="303"/>
      <c r="H51" s="268"/>
      <c r="I51" s="487"/>
      <c r="J51" s="487"/>
      <c r="K51" s="487"/>
      <c r="L51" s="487"/>
      <c r="M51" s="487"/>
      <c r="N51" s="487"/>
      <c r="O51" s="487"/>
      <c r="P51" s="487"/>
      <c r="Q51" s="237"/>
      <c r="R51" s="237"/>
      <c r="S51" s="237"/>
      <c r="T51" s="237"/>
      <c r="U51" s="102"/>
      <c r="V51" s="102"/>
      <c r="W51" s="102"/>
      <c r="X51" s="102"/>
      <c r="Y51" s="102"/>
    </row>
    <row r="52" spans="1:25" x14ac:dyDescent="0.2">
      <c r="A52" s="211"/>
      <c r="B52" s="37"/>
      <c r="C52" s="10"/>
      <c r="D52" s="10" t="s">
        <v>278</v>
      </c>
      <c r="E52" s="62"/>
      <c r="F52" s="158"/>
      <c r="G52" s="302"/>
      <c r="H52" s="267"/>
      <c r="I52" s="487"/>
      <c r="J52" s="487"/>
      <c r="K52" s="487"/>
      <c r="L52" s="487"/>
      <c r="M52" s="487"/>
      <c r="N52" s="487"/>
      <c r="O52" s="487"/>
      <c r="P52" s="487"/>
      <c r="Q52" s="237"/>
      <c r="R52" s="237"/>
      <c r="S52" s="237"/>
      <c r="T52" s="237"/>
      <c r="U52" s="102"/>
      <c r="V52" s="102"/>
      <c r="W52" s="102"/>
      <c r="X52" s="102"/>
      <c r="Y52" s="102"/>
    </row>
    <row r="53" spans="1:25" x14ac:dyDescent="0.2">
      <c r="A53" s="211">
        <v>25</v>
      </c>
      <c r="B53" s="37"/>
      <c r="C53" s="10"/>
      <c r="D53" s="10" t="s">
        <v>261</v>
      </c>
      <c r="E53" s="19"/>
      <c r="F53" s="159" t="s">
        <v>65</v>
      </c>
      <c r="G53" s="303">
        <f>+'KIPP Assumptions'!B$31</f>
        <v>314000</v>
      </c>
      <c r="H53" s="268"/>
      <c r="I53" s="487"/>
      <c r="J53" s="487"/>
      <c r="K53" s="487"/>
      <c r="L53" s="487"/>
      <c r="M53" s="487"/>
      <c r="N53" s="487"/>
      <c r="O53" s="487"/>
      <c r="P53" s="487"/>
      <c r="Q53" s="237"/>
      <c r="R53" s="237"/>
      <c r="S53" s="237"/>
      <c r="T53" s="237"/>
      <c r="U53" s="102"/>
      <c r="V53" s="102"/>
      <c r="W53" s="102"/>
      <c r="X53" s="102"/>
      <c r="Y53" s="102"/>
    </row>
    <row r="54" spans="1:25" x14ac:dyDescent="0.2">
      <c r="A54" s="211">
        <v>26</v>
      </c>
      <c r="B54" s="37"/>
      <c r="C54" s="10"/>
      <c r="D54" s="10" t="s">
        <v>262</v>
      </c>
      <c r="E54" s="19"/>
      <c r="F54" s="159" t="s">
        <v>66</v>
      </c>
      <c r="G54" s="303"/>
      <c r="H54" s="268"/>
      <c r="I54" s="487"/>
      <c r="J54" s="487"/>
      <c r="K54" s="487"/>
      <c r="L54" s="487"/>
      <c r="M54" s="487"/>
      <c r="N54" s="487"/>
      <c r="O54" s="487"/>
      <c r="P54" s="487"/>
      <c r="Q54" s="237"/>
      <c r="R54" s="237"/>
      <c r="S54" s="237"/>
      <c r="T54" s="237"/>
      <c r="U54" s="102"/>
      <c r="V54" s="102"/>
      <c r="W54" s="102"/>
      <c r="X54" s="102"/>
      <c r="Y54" s="102"/>
    </row>
    <row r="55" spans="1:25" x14ac:dyDescent="0.2">
      <c r="A55" s="211">
        <v>27</v>
      </c>
      <c r="B55" s="37"/>
      <c r="C55" s="10"/>
      <c r="D55" s="10" t="s">
        <v>279</v>
      </c>
      <c r="E55" s="19"/>
      <c r="F55" s="159" t="s">
        <v>67</v>
      </c>
      <c r="G55" s="303"/>
      <c r="H55" s="268"/>
      <c r="I55" s="487"/>
      <c r="J55" s="487"/>
      <c r="K55" s="487"/>
      <c r="L55" s="487"/>
      <c r="M55" s="487"/>
      <c r="N55" s="487"/>
      <c r="O55" s="487"/>
      <c r="P55" s="487"/>
      <c r="Q55" s="237"/>
      <c r="R55" s="237"/>
      <c r="S55" s="237"/>
      <c r="T55" s="237"/>
      <c r="U55" s="102"/>
      <c r="V55" s="102"/>
      <c r="W55" s="102"/>
      <c r="X55" s="102"/>
      <c r="Y55" s="102"/>
    </row>
    <row r="56" spans="1:25" x14ac:dyDescent="0.2">
      <c r="A56" s="211">
        <v>28</v>
      </c>
      <c r="B56" s="37"/>
      <c r="C56" s="10"/>
      <c r="D56" s="10" t="s">
        <v>263</v>
      </c>
      <c r="E56" s="19"/>
      <c r="F56" s="159" t="s">
        <v>68</v>
      </c>
      <c r="G56" s="303">
        <f>+'KIPP Assumptions'!B$34</f>
        <v>10000</v>
      </c>
      <c r="H56" s="268"/>
      <c r="I56" s="487"/>
      <c r="J56" s="487"/>
      <c r="K56" s="487"/>
      <c r="L56" s="487"/>
      <c r="M56" s="487"/>
      <c r="N56" s="487"/>
      <c r="O56" s="487"/>
      <c r="P56" s="487"/>
      <c r="Q56" s="237"/>
      <c r="R56" s="237"/>
      <c r="S56" s="237"/>
      <c r="T56" s="237"/>
      <c r="U56" s="102"/>
      <c r="V56" s="102"/>
      <c r="W56" s="102"/>
      <c r="X56" s="102"/>
      <c r="Y56" s="102"/>
    </row>
    <row r="57" spans="1:25" x14ac:dyDescent="0.2">
      <c r="A57" s="211">
        <v>29</v>
      </c>
      <c r="B57" s="37"/>
      <c r="C57" s="10"/>
      <c r="D57" s="10" t="s">
        <v>280</v>
      </c>
      <c r="E57" s="19"/>
      <c r="F57" s="159" t="s">
        <v>69</v>
      </c>
      <c r="G57" s="303">
        <f>+'KIPP Assumptions'!B$32</f>
        <v>33500</v>
      </c>
      <c r="H57" s="268"/>
      <c r="I57" s="487"/>
      <c r="J57" s="487"/>
      <c r="K57" s="487"/>
      <c r="L57" s="487"/>
      <c r="M57" s="487"/>
      <c r="N57" s="487"/>
      <c r="O57" s="487"/>
      <c r="P57" s="487"/>
      <c r="Q57" s="237"/>
      <c r="R57" s="237"/>
      <c r="S57" s="237"/>
      <c r="T57" s="237"/>
      <c r="U57" s="102"/>
      <c r="V57" s="102"/>
      <c r="W57" s="102"/>
      <c r="X57" s="102"/>
      <c r="Y57" s="102"/>
    </row>
    <row r="58" spans="1:25" x14ac:dyDescent="0.2">
      <c r="A58" s="211">
        <v>30</v>
      </c>
      <c r="B58" s="37"/>
      <c r="C58" s="10"/>
      <c r="D58" s="10" t="s">
        <v>264</v>
      </c>
      <c r="E58" s="19"/>
      <c r="F58" s="159" t="s">
        <v>70</v>
      </c>
      <c r="G58" s="303">
        <f>+'KIPP Assumptions'!B$33</f>
        <v>1500</v>
      </c>
      <c r="H58" s="268"/>
      <c r="I58" s="487"/>
      <c r="J58" s="487"/>
      <c r="K58" s="487"/>
      <c r="L58" s="487"/>
      <c r="M58" s="487"/>
      <c r="N58" s="487"/>
      <c r="O58" s="487"/>
      <c r="P58" s="487"/>
      <c r="Q58" s="237"/>
      <c r="R58" s="237"/>
      <c r="S58" s="237"/>
      <c r="T58" s="237"/>
      <c r="U58" s="102"/>
      <c r="V58" s="102"/>
      <c r="W58" s="102"/>
      <c r="X58" s="102"/>
      <c r="Y58" s="102"/>
    </row>
    <row r="59" spans="1:25" x14ac:dyDescent="0.2">
      <c r="A59" s="211">
        <v>31</v>
      </c>
      <c r="B59" s="37"/>
      <c r="C59" s="10"/>
      <c r="D59" s="10" t="s">
        <v>71</v>
      </c>
      <c r="E59" s="19"/>
      <c r="F59" s="159" t="s">
        <v>72</v>
      </c>
      <c r="G59" s="303"/>
      <c r="H59" s="268"/>
      <c r="I59" s="487"/>
      <c r="J59" s="487"/>
      <c r="K59" s="487"/>
      <c r="L59" s="487"/>
      <c r="M59" s="487"/>
      <c r="N59" s="487"/>
      <c r="O59" s="487"/>
      <c r="P59" s="487"/>
      <c r="Q59" s="237"/>
      <c r="R59" s="237"/>
      <c r="S59" s="237"/>
      <c r="T59" s="237"/>
      <c r="U59" s="102"/>
      <c r="V59" s="102"/>
      <c r="W59" s="102"/>
      <c r="X59" s="102"/>
      <c r="Y59" s="102"/>
    </row>
    <row r="60" spans="1:25" x14ac:dyDescent="0.2">
      <c r="A60" s="211"/>
      <c r="B60" s="37"/>
      <c r="C60" s="10" t="s">
        <v>73</v>
      </c>
      <c r="D60" s="10"/>
      <c r="E60" s="74"/>
      <c r="F60" s="160"/>
      <c r="G60" s="309"/>
      <c r="H60" s="298"/>
      <c r="I60" s="487"/>
      <c r="J60" s="487"/>
      <c r="K60" s="487"/>
      <c r="L60" s="487"/>
      <c r="M60" s="487"/>
      <c r="N60" s="487"/>
      <c r="O60" s="487"/>
      <c r="P60" s="487"/>
      <c r="Q60" s="237"/>
      <c r="R60" s="237"/>
      <c r="S60" s="237"/>
      <c r="T60" s="237"/>
      <c r="U60" s="102"/>
      <c r="V60" s="102"/>
      <c r="W60" s="102"/>
      <c r="X60" s="102"/>
      <c r="Y60" s="102"/>
    </row>
    <row r="61" spans="1:25" x14ac:dyDescent="0.2">
      <c r="A61" s="211">
        <v>32</v>
      </c>
      <c r="B61" s="37"/>
      <c r="C61" s="10"/>
      <c r="D61" s="10" t="s">
        <v>74</v>
      </c>
      <c r="E61" s="19"/>
      <c r="F61" s="159" t="s">
        <v>75</v>
      </c>
      <c r="G61" s="303">
        <f>+'KIPP Assumptions'!B$61</f>
        <v>25000</v>
      </c>
      <c r="H61" s="268"/>
      <c r="I61" s="487"/>
      <c r="J61" s="487"/>
      <c r="K61" s="487"/>
      <c r="L61" s="487"/>
      <c r="M61" s="487"/>
      <c r="N61" s="487"/>
      <c r="O61" s="487"/>
      <c r="P61" s="487"/>
      <c r="Q61" s="237"/>
      <c r="R61" s="237"/>
      <c r="S61" s="237"/>
      <c r="T61" s="237"/>
      <c r="U61" s="102"/>
      <c r="V61" s="102"/>
      <c r="W61" s="102"/>
      <c r="X61" s="102"/>
      <c r="Y61" s="102"/>
    </row>
    <row r="62" spans="1:25" s="95" customFormat="1" ht="14.25" customHeight="1" x14ac:dyDescent="0.2">
      <c r="A62" s="215">
        <v>33</v>
      </c>
      <c r="B62" s="92"/>
      <c r="C62" s="83" t="s">
        <v>17</v>
      </c>
      <c r="D62" s="83"/>
      <c r="E62" s="93"/>
      <c r="F62" s="161"/>
      <c r="G62" s="305"/>
      <c r="H62" s="270"/>
      <c r="I62" s="488"/>
      <c r="J62" s="488"/>
      <c r="K62" s="488"/>
      <c r="L62" s="488"/>
      <c r="M62" s="488"/>
      <c r="N62" s="488"/>
      <c r="O62" s="488"/>
      <c r="P62" s="488"/>
      <c r="Q62" s="242"/>
      <c r="R62" s="242"/>
      <c r="S62" s="242"/>
      <c r="T62" s="237"/>
      <c r="U62" s="241"/>
      <c r="V62" s="241"/>
      <c r="W62" s="241"/>
      <c r="X62" s="241"/>
      <c r="Y62" s="241"/>
    </row>
    <row r="63" spans="1:25" s="95" customFormat="1" ht="14.25" customHeight="1" x14ac:dyDescent="0.2">
      <c r="A63" s="215">
        <v>34</v>
      </c>
      <c r="B63" s="92"/>
      <c r="C63" s="83"/>
      <c r="D63" s="10"/>
      <c r="E63" s="93"/>
      <c r="F63" s="159" t="s">
        <v>464</v>
      </c>
      <c r="G63" s="321">
        <v>0</v>
      </c>
      <c r="H63" s="270"/>
      <c r="I63" s="488"/>
      <c r="J63" s="488"/>
      <c r="K63" s="488"/>
      <c r="L63" s="488"/>
      <c r="M63" s="488"/>
      <c r="N63" s="488"/>
      <c r="O63" s="488"/>
      <c r="P63" s="488"/>
      <c r="Q63" s="242"/>
      <c r="R63" s="242"/>
      <c r="S63" s="242"/>
      <c r="T63" s="237"/>
      <c r="U63" s="241"/>
      <c r="V63" s="241"/>
      <c r="W63" s="241"/>
      <c r="X63" s="241"/>
      <c r="Y63" s="241"/>
    </row>
    <row r="64" spans="1:25" x14ac:dyDescent="0.2">
      <c r="A64" s="213">
        <v>35</v>
      </c>
      <c r="B64" s="43"/>
      <c r="C64" s="44"/>
      <c r="D64" s="44"/>
      <c r="E64" s="23"/>
      <c r="F64" s="162"/>
      <c r="G64" s="304"/>
      <c r="H64" s="269"/>
      <c r="I64" s="487"/>
      <c r="J64" s="487"/>
      <c r="K64" s="487"/>
      <c r="L64" s="487"/>
      <c r="M64" s="487"/>
      <c r="N64" s="487"/>
      <c r="O64" s="487"/>
      <c r="P64" s="487"/>
      <c r="Q64" s="237"/>
      <c r="R64" s="237"/>
      <c r="S64" s="237"/>
      <c r="T64" s="237"/>
      <c r="U64" s="102"/>
      <c r="V64" s="102"/>
      <c r="W64" s="102"/>
      <c r="X64" s="102"/>
      <c r="Y64" s="102"/>
    </row>
    <row r="65" spans="1:25" x14ac:dyDescent="0.2">
      <c r="A65" s="216">
        <v>36</v>
      </c>
      <c r="B65" s="48" t="s">
        <v>268</v>
      </c>
      <c r="C65" s="7"/>
      <c r="D65" s="7"/>
      <c r="E65" s="50"/>
      <c r="F65" s="163"/>
      <c r="G65" s="306">
        <f>SUM(G42:G64)</f>
        <v>610600</v>
      </c>
      <c r="H65" s="271"/>
      <c r="I65" s="487"/>
      <c r="J65" s="487"/>
      <c r="K65" s="487"/>
      <c r="L65" s="487"/>
      <c r="M65" s="487"/>
      <c r="N65" s="487"/>
      <c r="O65" s="487"/>
      <c r="P65" s="487"/>
      <c r="Q65" s="237"/>
      <c r="R65" s="237"/>
      <c r="S65" s="237"/>
      <c r="T65" s="237"/>
      <c r="U65" s="102"/>
      <c r="V65" s="102"/>
      <c r="W65" s="102"/>
      <c r="X65" s="102"/>
      <c r="Y65" s="102"/>
    </row>
    <row r="66" spans="1:25" x14ac:dyDescent="0.2">
      <c r="A66" s="211"/>
      <c r="B66" s="37"/>
      <c r="C66" s="10"/>
      <c r="D66" s="10"/>
      <c r="E66" s="62"/>
      <c r="F66" s="158"/>
      <c r="G66" s="302"/>
      <c r="H66" s="267"/>
      <c r="I66" s="487"/>
      <c r="J66" s="487"/>
      <c r="K66" s="487"/>
      <c r="L66" s="487"/>
      <c r="M66" s="487"/>
      <c r="N66" s="487"/>
      <c r="O66" s="487"/>
      <c r="P66" s="487"/>
      <c r="Q66" s="237"/>
      <c r="R66" s="237"/>
      <c r="S66" s="237"/>
      <c r="T66" s="237"/>
      <c r="U66" s="102"/>
      <c r="V66" s="102"/>
      <c r="W66" s="102"/>
      <c r="X66" s="102"/>
      <c r="Y66" s="102"/>
    </row>
    <row r="67" spans="1:25" s="14" customFormat="1" x14ac:dyDescent="0.2">
      <c r="A67" s="218"/>
      <c r="B67" s="26" t="s">
        <v>284</v>
      </c>
      <c r="C67" s="12"/>
      <c r="D67" s="12"/>
      <c r="E67" s="62"/>
      <c r="F67" s="158"/>
      <c r="G67" s="302"/>
      <c r="H67" s="267"/>
      <c r="I67" s="487"/>
      <c r="J67" s="487"/>
      <c r="K67" s="487"/>
      <c r="L67" s="487"/>
      <c r="M67" s="487"/>
      <c r="N67" s="487"/>
      <c r="O67" s="487"/>
      <c r="P67" s="487"/>
      <c r="Q67" s="237"/>
      <c r="R67" s="237"/>
      <c r="S67" s="237"/>
      <c r="T67" s="237"/>
      <c r="U67" s="102"/>
      <c r="V67" s="102"/>
      <c r="W67" s="102"/>
      <c r="X67" s="102"/>
      <c r="Y67" s="102"/>
    </row>
    <row r="68" spans="1:25" s="100" customFormat="1" x14ac:dyDescent="0.2">
      <c r="A68" s="219">
        <v>37</v>
      </c>
      <c r="B68" s="96"/>
      <c r="C68" s="97"/>
      <c r="D68" s="97"/>
      <c r="E68" s="98"/>
      <c r="F68" s="164" t="s">
        <v>252</v>
      </c>
      <c r="G68" s="310"/>
      <c r="H68" s="291"/>
      <c r="I68" s="487"/>
      <c r="J68" s="487"/>
      <c r="K68" s="487"/>
      <c r="L68" s="487"/>
      <c r="M68" s="487"/>
      <c r="N68" s="487"/>
      <c r="O68" s="487"/>
      <c r="P68" s="487"/>
      <c r="Q68" s="237"/>
      <c r="R68" s="237"/>
      <c r="S68" s="237"/>
      <c r="T68" s="237"/>
      <c r="U68" s="102"/>
      <c r="V68" s="102"/>
      <c r="W68" s="102"/>
      <c r="X68" s="102"/>
      <c r="Y68" s="102"/>
    </row>
    <row r="69" spans="1:25" ht="15" thickBot="1" x14ac:dyDescent="0.25">
      <c r="A69" s="213">
        <v>38</v>
      </c>
      <c r="B69" s="43"/>
      <c r="C69" s="44"/>
      <c r="D69" s="44"/>
      <c r="E69" s="134"/>
      <c r="F69" s="165"/>
      <c r="G69" s="311"/>
      <c r="H69" s="299"/>
      <c r="I69" s="487"/>
      <c r="J69" s="487"/>
      <c r="K69" s="487"/>
      <c r="L69" s="487"/>
      <c r="M69" s="487"/>
      <c r="N69" s="487"/>
      <c r="O69" s="487"/>
      <c r="P69" s="487"/>
      <c r="Q69" s="237"/>
      <c r="R69" s="237"/>
      <c r="S69" s="237"/>
      <c r="T69" s="237"/>
      <c r="U69" s="102"/>
      <c r="V69" s="102"/>
      <c r="W69" s="102"/>
      <c r="X69" s="102"/>
      <c r="Y69" s="102"/>
    </row>
    <row r="70" spans="1:25" ht="15" thickBot="1" x14ac:dyDescent="0.25">
      <c r="A70" s="220">
        <v>39</v>
      </c>
      <c r="B70" s="45" t="s">
        <v>271</v>
      </c>
      <c r="C70" s="8"/>
      <c r="D70" s="8"/>
      <c r="E70" s="46"/>
      <c r="F70" s="166"/>
      <c r="G70" s="312">
        <f>+G21+G33+G65+G68+G69</f>
        <v>2861796.5</v>
      </c>
      <c r="H70" s="287"/>
      <c r="I70" s="487"/>
      <c r="J70" s="487"/>
      <c r="K70" s="487"/>
      <c r="L70" s="487"/>
      <c r="M70" s="487"/>
      <c r="N70" s="487"/>
      <c r="O70" s="487"/>
      <c r="P70" s="487"/>
      <c r="Q70" s="237"/>
      <c r="R70" s="237"/>
      <c r="S70" s="237"/>
      <c r="T70" s="237"/>
      <c r="U70" s="102"/>
      <c r="V70" s="102"/>
      <c r="W70" s="102"/>
      <c r="X70" s="102"/>
      <c r="Y70" s="102"/>
    </row>
    <row r="71" spans="1:25" s="14" customFormat="1" x14ac:dyDescent="0.2">
      <c r="A71" s="238"/>
      <c r="D71" s="178"/>
      <c r="E71" s="179"/>
      <c r="F71" s="179"/>
      <c r="G71" s="313"/>
      <c r="H71" s="179"/>
      <c r="I71" s="102"/>
      <c r="J71" s="102"/>
      <c r="K71" s="102"/>
      <c r="L71" s="102"/>
      <c r="M71" s="102"/>
      <c r="N71" s="102"/>
      <c r="O71" s="102"/>
      <c r="P71" s="102"/>
      <c r="Q71" s="243"/>
      <c r="R71" s="243"/>
      <c r="S71" s="243"/>
      <c r="T71" s="243"/>
      <c r="U71" s="102"/>
      <c r="V71" s="102"/>
      <c r="W71" s="102"/>
      <c r="X71" s="102"/>
      <c r="Y71" s="102"/>
    </row>
    <row r="72" spans="1:25" s="14" customFormat="1" x14ac:dyDescent="0.2">
      <c r="A72" s="238"/>
      <c r="E72" s="180"/>
      <c r="F72" s="180"/>
      <c r="G72" s="314"/>
      <c r="H72" s="180"/>
      <c r="I72" s="102"/>
      <c r="J72" s="102"/>
      <c r="K72" s="102"/>
      <c r="L72" s="102"/>
      <c r="M72" s="102"/>
      <c r="N72" s="102"/>
      <c r="O72" s="102"/>
      <c r="P72" s="102"/>
      <c r="Q72" s="243"/>
      <c r="R72" s="243"/>
      <c r="S72" s="243"/>
      <c r="T72" s="243"/>
      <c r="U72" s="102"/>
      <c r="V72" s="102"/>
      <c r="W72" s="102"/>
      <c r="X72" s="102"/>
      <c r="Y72" s="102"/>
    </row>
    <row r="73" spans="1:25" s="14" customFormat="1" x14ac:dyDescent="0.2">
      <c r="A73" s="238"/>
      <c r="E73" s="180"/>
      <c r="F73" s="180"/>
      <c r="G73" s="314"/>
      <c r="H73" s="180"/>
      <c r="I73" s="102"/>
      <c r="J73" s="102"/>
      <c r="K73" s="102"/>
      <c r="M73" s="102"/>
      <c r="N73" s="102"/>
      <c r="O73" s="102"/>
      <c r="P73" s="102"/>
      <c r="Q73" s="243"/>
      <c r="R73" s="243"/>
      <c r="S73" s="243"/>
      <c r="T73" s="243"/>
      <c r="U73" s="102"/>
      <c r="V73" s="102"/>
      <c r="W73" s="102"/>
      <c r="X73" s="102"/>
      <c r="Y73" s="102"/>
    </row>
    <row r="74" spans="1:25" s="14" customFormat="1" ht="20.25" customHeight="1" x14ac:dyDescent="0.25">
      <c r="A74" s="222"/>
      <c r="B74" s="21" t="s">
        <v>273</v>
      </c>
      <c r="E74" s="15"/>
      <c r="F74" s="167"/>
      <c r="G74" s="315"/>
      <c r="H74" s="283"/>
      <c r="I74" s="487"/>
      <c r="J74" s="489"/>
      <c r="K74" s="489"/>
      <c r="L74" s="498"/>
      <c r="M74" s="102"/>
      <c r="N74" s="102"/>
      <c r="O74" s="487"/>
      <c r="P74" s="487"/>
      <c r="Q74" s="237"/>
      <c r="R74" s="237"/>
      <c r="S74" s="237"/>
      <c r="T74" s="237"/>
      <c r="U74" s="102"/>
      <c r="V74" s="102"/>
      <c r="W74" s="102"/>
      <c r="X74" s="102"/>
      <c r="Y74" s="102"/>
    </row>
    <row r="75" spans="1:25" x14ac:dyDescent="0.2">
      <c r="A75" s="222"/>
      <c r="D75" s="14"/>
      <c r="E75" s="15" t="s">
        <v>33</v>
      </c>
      <c r="F75" s="167"/>
      <c r="G75" s="315"/>
      <c r="H75" s="283"/>
      <c r="I75" s="487"/>
      <c r="J75" s="487"/>
      <c r="K75" s="487"/>
      <c r="L75" s="499"/>
      <c r="M75" s="102"/>
      <c r="N75" s="102"/>
      <c r="O75" s="487"/>
      <c r="P75" s="487"/>
      <c r="Q75" s="237"/>
      <c r="R75" s="237"/>
      <c r="S75" s="237"/>
      <c r="T75" s="237"/>
      <c r="U75" s="102"/>
      <c r="V75" s="102"/>
      <c r="W75" s="102"/>
      <c r="X75" s="102"/>
      <c r="Y75" s="102"/>
    </row>
    <row r="76" spans="1:25" s="5" customFormat="1" ht="15" x14ac:dyDescent="0.25">
      <c r="A76" s="223"/>
      <c r="B76" s="55" t="s">
        <v>16</v>
      </c>
      <c r="C76" s="56"/>
      <c r="D76" s="56"/>
      <c r="E76" s="64" t="s">
        <v>33</v>
      </c>
      <c r="F76" s="168"/>
      <c r="G76" s="316"/>
      <c r="H76" s="284"/>
      <c r="I76" s="489"/>
      <c r="J76" s="489"/>
      <c r="K76" s="489"/>
      <c r="L76" s="487"/>
      <c r="M76" s="618"/>
      <c r="N76" s="499"/>
      <c r="O76" s="489"/>
      <c r="P76" s="489"/>
      <c r="Q76" s="244"/>
      <c r="R76" s="244"/>
      <c r="S76" s="244"/>
      <c r="T76" s="244"/>
      <c r="U76" s="240"/>
      <c r="V76" s="240"/>
      <c r="W76" s="240"/>
      <c r="X76" s="240"/>
      <c r="Y76" s="240"/>
    </row>
    <row r="77" spans="1:25" s="5" customFormat="1" ht="15" x14ac:dyDescent="0.25">
      <c r="A77" s="224"/>
      <c r="B77" s="90" t="s">
        <v>274</v>
      </c>
      <c r="C77" s="57"/>
      <c r="D77" s="57"/>
      <c r="E77" s="66"/>
      <c r="F77" s="169"/>
      <c r="G77" s="317"/>
      <c r="H77" s="285"/>
      <c r="I77" s="489"/>
      <c r="J77" s="489"/>
      <c r="K77" s="489"/>
      <c r="L77" s="498"/>
      <c r="M77" s="515"/>
      <c r="N77" s="495"/>
      <c r="O77" s="618"/>
      <c r="P77" s="489"/>
      <c r="Q77" s="244"/>
      <c r="R77" s="244"/>
      <c r="S77" s="244"/>
      <c r="T77" s="244"/>
      <c r="U77" s="240"/>
      <c r="V77" s="240"/>
      <c r="W77" s="240"/>
      <c r="X77" s="240"/>
      <c r="Y77" s="240"/>
    </row>
    <row r="78" spans="1:25" x14ac:dyDescent="0.2">
      <c r="A78" s="225"/>
      <c r="B78" s="37"/>
      <c r="C78" s="10" t="s">
        <v>76</v>
      </c>
      <c r="D78" s="10"/>
      <c r="E78" s="62"/>
      <c r="F78" s="158"/>
      <c r="G78" s="302"/>
      <c r="H78" s="267"/>
      <c r="I78" s="487"/>
      <c r="J78" s="487"/>
      <c r="K78" s="487"/>
      <c r="L78" s="499"/>
      <c r="M78" s="515"/>
      <c r="N78" s="495"/>
      <c r="O78" s="102"/>
      <c r="P78" s="487"/>
      <c r="Q78" s="237"/>
      <c r="R78" s="237"/>
      <c r="S78" s="237"/>
      <c r="T78" s="237"/>
      <c r="U78" s="102"/>
      <c r="V78" s="102"/>
      <c r="W78" s="102"/>
      <c r="X78" s="102"/>
      <c r="Y78" s="102"/>
    </row>
    <row r="79" spans="1:25" x14ac:dyDescent="0.2">
      <c r="A79" s="225">
        <v>40</v>
      </c>
      <c r="B79" s="37"/>
      <c r="C79" s="10"/>
      <c r="D79" s="10" t="s">
        <v>117</v>
      </c>
      <c r="E79" s="19">
        <v>112</v>
      </c>
      <c r="F79" s="159">
        <v>1100</v>
      </c>
      <c r="G79" s="303">
        <f>SUM(I79*J79,K79*L79)</f>
        <v>362500</v>
      </c>
      <c r="H79" s="268" t="s">
        <v>517</v>
      </c>
      <c r="I79" s="490">
        <f>+'KIPP Assumptions'!B$83</f>
        <v>7</v>
      </c>
      <c r="J79" s="314">
        <v>47500</v>
      </c>
      <c r="K79" s="490">
        <f>'KIPP Assumptions'!B84</f>
        <v>1</v>
      </c>
      <c r="L79" s="314">
        <v>30000</v>
      </c>
      <c r="M79" s="487"/>
      <c r="N79" s="487"/>
      <c r="O79" s="487"/>
      <c r="P79" s="487"/>
      <c r="Q79" s="237"/>
      <c r="R79" s="237"/>
      <c r="S79" s="237"/>
      <c r="T79" s="237"/>
      <c r="U79" s="102"/>
      <c r="V79" s="102"/>
      <c r="W79" s="102"/>
      <c r="X79" s="102"/>
      <c r="Y79" s="102"/>
    </row>
    <row r="80" spans="1:25" x14ac:dyDescent="0.2">
      <c r="A80" s="225">
        <v>41</v>
      </c>
      <c r="B80" s="37"/>
      <c r="C80" s="10"/>
      <c r="D80" s="10" t="s">
        <v>78</v>
      </c>
      <c r="E80" s="19" t="s">
        <v>79</v>
      </c>
      <c r="F80" s="159" t="s">
        <v>80</v>
      </c>
      <c r="G80" s="303"/>
      <c r="H80" s="268"/>
      <c r="I80" s="490"/>
      <c r="J80" s="487"/>
      <c r="K80" s="314"/>
      <c r="L80" s="491"/>
      <c r="M80" s="487"/>
      <c r="N80" s="487"/>
      <c r="O80" s="487"/>
      <c r="P80" s="487"/>
      <c r="Q80" s="237"/>
      <c r="R80" s="237"/>
      <c r="S80" s="237"/>
      <c r="T80" s="237"/>
      <c r="U80" s="102"/>
      <c r="V80" s="102"/>
      <c r="W80" s="102"/>
      <c r="X80" s="102"/>
      <c r="Y80" s="102"/>
    </row>
    <row r="81" spans="1:25" x14ac:dyDescent="0.2">
      <c r="A81" s="225">
        <v>42</v>
      </c>
      <c r="B81" s="37"/>
      <c r="C81" s="10"/>
      <c r="D81" s="10" t="s">
        <v>81</v>
      </c>
      <c r="E81" s="19" t="s">
        <v>82</v>
      </c>
      <c r="F81" s="159" t="s">
        <v>80</v>
      </c>
      <c r="G81" s="303"/>
      <c r="H81" s="290"/>
      <c r="I81" s="490"/>
      <c r="J81" s="487"/>
      <c r="K81" s="487"/>
      <c r="L81" s="491"/>
      <c r="M81" s="487"/>
      <c r="N81" s="487"/>
      <c r="O81" s="487"/>
      <c r="P81" s="487"/>
      <c r="Q81" s="237"/>
      <c r="R81" s="237"/>
      <c r="S81" s="237"/>
      <c r="T81" s="237"/>
      <c r="U81" s="102"/>
      <c r="V81" s="102"/>
      <c r="W81" s="102"/>
      <c r="X81" s="102"/>
      <c r="Y81" s="102"/>
    </row>
    <row r="82" spans="1:25" x14ac:dyDescent="0.2">
      <c r="A82" s="225">
        <v>43</v>
      </c>
      <c r="B82" s="37"/>
      <c r="C82" s="10" t="s">
        <v>83</v>
      </c>
      <c r="D82" s="10"/>
      <c r="E82" s="19" t="s">
        <v>84</v>
      </c>
      <c r="F82" s="159" t="s">
        <v>80</v>
      </c>
      <c r="G82" s="303">
        <v>28677.419354838712</v>
      </c>
      <c r="H82" s="268" t="s">
        <v>472</v>
      </c>
      <c r="I82" s="490"/>
      <c r="J82" s="491"/>
      <c r="K82" s="487"/>
      <c r="L82" s="491"/>
      <c r="M82" s="487"/>
      <c r="N82" s="487"/>
      <c r="O82" s="487"/>
      <c r="P82" s="487"/>
      <c r="Q82" s="237"/>
      <c r="R82" s="237"/>
      <c r="S82" s="237"/>
      <c r="T82" s="237"/>
      <c r="U82" s="102"/>
      <c r="V82" s="102"/>
      <c r="W82" s="102"/>
      <c r="X82" s="102"/>
      <c r="Y82" s="102"/>
    </row>
    <row r="83" spans="1:25" x14ac:dyDescent="0.2">
      <c r="A83" s="225">
        <v>44</v>
      </c>
      <c r="B83" s="37"/>
      <c r="C83" s="10" t="s">
        <v>85</v>
      </c>
      <c r="D83" s="10"/>
      <c r="E83" s="19" t="s">
        <v>86</v>
      </c>
      <c r="F83" s="159" t="s">
        <v>80</v>
      </c>
      <c r="G83" s="303"/>
      <c r="H83" s="268"/>
      <c r="I83" s="490"/>
      <c r="J83" s="487"/>
      <c r="K83" s="487"/>
      <c r="L83" s="491"/>
      <c r="M83" s="487"/>
      <c r="N83" s="487"/>
      <c r="O83" s="487"/>
      <c r="P83" s="487"/>
      <c r="Q83" s="237"/>
      <c r="R83" s="237"/>
      <c r="S83" s="237"/>
      <c r="T83" s="237"/>
      <c r="U83" s="102"/>
      <c r="V83" s="102"/>
      <c r="W83" s="102"/>
      <c r="X83" s="102"/>
      <c r="Y83" s="102"/>
    </row>
    <row r="84" spans="1:25" x14ac:dyDescent="0.2">
      <c r="A84" s="225">
        <v>45</v>
      </c>
      <c r="B84" s="37"/>
      <c r="C84" s="10" t="s">
        <v>87</v>
      </c>
      <c r="D84" s="10"/>
      <c r="E84" s="19" t="s">
        <v>88</v>
      </c>
      <c r="F84" s="159" t="s">
        <v>80</v>
      </c>
      <c r="G84" s="303">
        <v>5000</v>
      </c>
      <c r="H84" s="268" t="s">
        <v>430</v>
      </c>
      <c r="I84" s="490"/>
      <c r="J84" s="491"/>
      <c r="K84" s="491"/>
      <c r="L84" s="491"/>
      <c r="M84" s="487"/>
      <c r="N84" s="487"/>
      <c r="O84" s="487"/>
      <c r="P84" s="487"/>
      <c r="Q84" s="237"/>
      <c r="R84" s="237"/>
      <c r="S84" s="237"/>
      <c r="T84" s="237"/>
      <c r="U84" s="102"/>
      <c r="V84" s="102"/>
      <c r="W84" s="102"/>
      <c r="X84" s="102"/>
      <c r="Y84" s="102"/>
    </row>
    <row r="85" spans="1:25" x14ac:dyDescent="0.2">
      <c r="A85" s="225"/>
      <c r="B85" s="37"/>
      <c r="C85" s="10" t="s">
        <v>89</v>
      </c>
      <c r="D85" s="10"/>
      <c r="E85" s="62"/>
      <c r="F85" s="158"/>
      <c r="G85" s="302"/>
      <c r="H85" s="267"/>
      <c r="I85" s="490"/>
      <c r="J85" s="487"/>
      <c r="K85" s="487"/>
      <c r="L85" s="491"/>
      <c r="M85" s="487"/>
      <c r="N85" s="487"/>
      <c r="O85" s="487"/>
      <c r="P85" s="487"/>
      <c r="Q85" s="237"/>
      <c r="R85" s="237"/>
      <c r="S85" s="237"/>
      <c r="T85" s="237"/>
      <c r="U85" s="102"/>
      <c r="V85" s="102"/>
      <c r="W85" s="102"/>
      <c r="X85" s="102"/>
      <c r="Y85" s="102"/>
    </row>
    <row r="86" spans="1:25" x14ac:dyDescent="0.2">
      <c r="A86" s="225">
        <v>46</v>
      </c>
      <c r="B86" s="37"/>
      <c r="C86" s="10"/>
      <c r="D86" s="10" t="s">
        <v>6</v>
      </c>
      <c r="E86" s="19" t="s">
        <v>90</v>
      </c>
      <c r="F86" s="159" t="s">
        <v>80</v>
      </c>
      <c r="G86" s="303">
        <v>43908.06451612903</v>
      </c>
      <c r="H86" s="268" t="s">
        <v>518</v>
      </c>
      <c r="I86" s="490"/>
      <c r="J86" s="491"/>
      <c r="K86" s="487"/>
      <c r="L86" s="491"/>
      <c r="M86" s="487"/>
      <c r="N86" s="487"/>
      <c r="O86" s="487"/>
      <c r="P86" s="487"/>
      <c r="Q86" s="237"/>
      <c r="R86" s="237"/>
      <c r="S86" s="237"/>
      <c r="T86" s="237"/>
      <c r="U86" s="102"/>
      <c r="V86" s="102"/>
      <c r="W86" s="102"/>
      <c r="X86" s="102"/>
      <c r="Y86" s="102"/>
    </row>
    <row r="87" spans="1:25" x14ac:dyDescent="0.2">
      <c r="A87" s="225">
        <v>47</v>
      </c>
      <c r="B87" s="37"/>
      <c r="C87" s="10"/>
      <c r="D87" s="10" t="s">
        <v>91</v>
      </c>
      <c r="E87" s="19" t="s">
        <v>92</v>
      </c>
      <c r="F87" s="159" t="s">
        <v>80</v>
      </c>
      <c r="G87" s="303">
        <v>6209.677419354839</v>
      </c>
      <c r="H87" s="268"/>
      <c r="I87" s="490"/>
      <c r="J87" s="491"/>
      <c r="K87" s="487"/>
      <c r="L87" s="491"/>
      <c r="M87" s="487"/>
      <c r="N87" s="487"/>
      <c r="O87" s="487"/>
      <c r="P87" s="487"/>
      <c r="Q87" s="237"/>
      <c r="R87" s="237"/>
      <c r="S87" s="237"/>
      <c r="T87" s="237"/>
      <c r="U87" s="102"/>
      <c r="V87" s="102"/>
      <c r="W87" s="102"/>
      <c r="X87" s="102"/>
      <c r="Y87" s="102"/>
    </row>
    <row r="88" spans="1:25" x14ac:dyDescent="0.2">
      <c r="A88" s="225">
        <v>48</v>
      </c>
      <c r="B88" s="37"/>
      <c r="C88" s="10" t="s">
        <v>93</v>
      </c>
      <c r="D88" s="10"/>
      <c r="E88" s="19" t="s">
        <v>94</v>
      </c>
      <c r="F88" s="159" t="s">
        <v>80</v>
      </c>
      <c r="G88" s="303">
        <v>0</v>
      </c>
      <c r="H88" s="268" t="s">
        <v>513</v>
      </c>
      <c r="I88" s="490"/>
      <c r="J88" s="491"/>
      <c r="K88" s="487"/>
      <c r="L88" s="491"/>
      <c r="M88" s="487"/>
      <c r="N88" s="487"/>
      <c r="O88" s="487"/>
      <c r="P88" s="487"/>
      <c r="Q88" s="237"/>
      <c r="R88" s="237"/>
      <c r="S88" s="237"/>
      <c r="T88" s="237"/>
      <c r="U88" s="102"/>
      <c r="V88" s="102"/>
      <c r="W88" s="102"/>
      <c r="X88" s="102"/>
      <c r="Y88" s="102"/>
    </row>
    <row r="89" spans="1:25" x14ac:dyDescent="0.2">
      <c r="A89" s="225">
        <v>49</v>
      </c>
      <c r="B89" s="37"/>
      <c r="C89" s="10" t="s">
        <v>95</v>
      </c>
      <c r="D89" s="10"/>
      <c r="E89" s="19" t="s">
        <v>96</v>
      </c>
      <c r="F89" s="159" t="s">
        <v>80</v>
      </c>
      <c r="G89" s="303"/>
      <c r="H89" s="268"/>
      <c r="I89" s="490"/>
      <c r="J89" s="487"/>
      <c r="K89" s="487"/>
      <c r="L89" s="491"/>
      <c r="M89" s="487"/>
      <c r="N89" s="487"/>
      <c r="O89" s="487"/>
      <c r="P89" s="487"/>
      <c r="Q89" s="237"/>
      <c r="R89" s="237"/>
      <c r="S89" s="237"/>
      <c r="T89" s="237"/>
      <c r="U89" s="102"/>
      <c r="V89" s="102"/>
      <c r="W89" s="102"/>
      <c r="X89" s="102"/>
      <c r="Y89" s="102"/>
    </row>
    <row r="90" spans="1:25" x14ac:dyDescent="0.2">
      <c r="A90" s="225">
        <v>50</v>
      </c>
      <c r="B90" s="37"/>
      <c r="C90" s="10" t="s">
        <v>295</v>
      </c>
      <c r="D90" s="10"/>
      <c r="E90" s="19" t="s">
        <v>97</v>
      </c>
      <c r="F90" s="159" t="s">
        <v>80</v>
      </c>
      <c r="G90" s="303">
        <f>+SUM(G$79:G$81)*I90</f>
        <v>25655.33360655155</v>
      </c>
      <c r="H90" s="268"/>
      <c r="I90" s="492">
        <f>'KIPP Assumptions'!$B$105+'KIPP Assumptions'!$B$106+'KIPP Assumptions'!$B$107+'KIPP Assumptions'!$B$108+'KIPP Assumptions'!$B$109</f>
        <v>7.0773334087038758E-2</v>
      </c>
      <c r="J90" s="487"/>
      <c r="K90" s="487"/>
      <c r="L90" s="491"/>
      <c r="M90" s="487"/>
      <c r="N90" s="487"/>
      <c r="O90" s="487"/>
      <c r="P90" s="487"/>
      <c r="Q90" s="237"/>
      <c r="R90" s="237"/>
      <c r="S90" s="237"/>
      <c r="T90" s="237"/>
      <c r="U90" s="102"/>
      <c r="V90" s="102"/>
      <c r="W90" s="102"/>
      <c r="X90" s="102"/>
      <c r="Y90" s="102"/>
    </row>
    <row r="91" spans="1:25" x14ac:dyDescent="0.2">
      <c r="A91" s="225">
        <v>51</v>
      </c>
      <c r="B91" s="37"/>
      <c r="C91" s="10" t="s">
        <v>98</v>
      </c>
      <c r="D91" s="10"/>
      <c r="E91" s="19" t="s">
        <v>99</v>
      </c>
      <c r="F91" s="159" t="s">
        <v>80</v>
      </c>
      <c r="G91" s="303">
        <f t="shared" ref="G91:G94" si="0">+SUM(G$79:G$81)*I91</f>
        <v>22475</v>
      </c>
      <c r="H91" s="268"/>
      <c r="I91" s="492">
        <f>'KIPP Assumptions'!$B$111</f>
        <v>6.2E-2</v>
      </c>
      <c r="J91" s="487"/>
      <c r="K91" s="487"/>
      <c r="L91" s="491"/>
      <c r="M91" s="487"/>
      <c r="N91" s="487"/>
      <c r="O91" s="487"/>
      <c r="P91" s="487"/>
      <c r="Q91" s="237"/>
      <c r="R91" s="237"/>
      <c r="S91" s="237"/>
      <c r="T91" s="237"/>
      <c r="U91" s="102"/>
      <c r="V91" s="102"/>
      <c r="W91" s="102"/>
      <c r="X91" s="102"/>
      <c r="Y91" s="102"/>
    </row>
    <row r="92" spans="1:25" x14ac:dyDescent="0.2">
      <c r="A92" s="225">
        <v>52</v>
      </c>
      <c r="B92" s="37"/>
      <c r="C92" s="10" t="s">
        <v>100</v>
      </c>
      <c r="D92" s="10"/>
      <c r="E92" s="19" t="s">
        <v>101</v>
      </c>
      <c r="F92" s="159" t="s">
        <v>80</v>
      </c>
      <c r="G92" s="303">
        <f t="shared" si="0"/>
        <v>5256.25</v>
      </c>
      <c r="H92" s="268"/>
      <c r="I92" s="492">
        <f>'KIPP Assumptions'!$B$110</f>
        <v>1.4500000000000001E-2</v>
      </c>
      <c r="J92" s="487"/>
      <c r="K92" s="487"/>
      <c r="L92" s="491"/>
      <c r="M92" s="487"/>
      <c r="N92" s="487"/>
      <c r="O92" s="487"/>
      <c r="P92" s="487"/>
      <c r="Q92" s="237"/>
      <c r="R92" s="237"/>
      <c r="S92" s="237"/>
      <c r="T92" s="237"/>
      <c r="U92" s="102"/>
      <c r="V92" s="102"/>
      <c r="W92" s="102"/>
      <c r="X92" s="102"/>
      <c r="Y92" s="102"/>
    </row>
    <row r="93" spans="1:25" x14ac:dyDescent="0.2">
      <c r="A93" s="225">
        <v>53</v>
      </c>
      <c r="B93" s="37"/>
      <c r="C93" s="10" t="s">
        <v>219</v>
      </c>
      <c r="D93" s="10"/>
      <c r="E93" s="19" t="s">
        <v>220</v>
      </c>
      <c r="F93" s="159">
        <v>1100</v>
      </c>
      <c r="G93" s="303">
        <f t="shared" si="0"/>
        <v>11646.793972690619</v>
      </c>
      <c r="H93" s="268"/>
      <c r="I93" s="492">
        <f>+'KIPP Assumptions'!$B$113</f>
        <v>3.21290868212155E-2</v>
      </c>
      <c r="J93" s="487"/>
      <c r="K93" s="487"/>
      <c r="L93" s="491"/>
      <c r="M93" s="487"/>
      <c r="N93" s="487"/>
      <c r="O93" s="487"/>
      <c r="P93" s="487"/>
      <c r="Q93" s="237"/>
      <c r="R93" s="237"/>
      <c r="S93" s="237"/>
      <c r="T93" s="237"/>
      <c r="U93" s="102"/>
      <c r="V93" s="102"/>
      <c r="W93" s="102"/>
      <c r="X93" s="102"/>
      <c r="Y93" s="102"/>
    </row>
    <row r="94" spans="1:25" x14ac:dyDescent="0.2">
      <c r="A94" s="225">
        <v>54</v>
      </c>
      <c r="B94" s="37"/>
      <c r="C94" s="10" t="s">
        <v>102</v>
      </c>
      <c r="D94" s="10"/>
      <c r="E94" s="19" t="s">
        <v>103</v>
      </c>
      <c r="F94" s="159" t="s">
        <v>80</v>
      </c>
      <c r="G94" s="303">
        <f t="shared" si="0"/>
        <v>362.5</v>
      </c>
      <c r="H94" s="268"/>
      <c r="I94" s="492">
        <f>+'KIPP Assumptions'!$B$112</f>
        <v>1E-3</v>
      </c>
      <c r="J94" s="487"/>
      <c r="K94" s="487"/>
      <c r="L94" s="491"/>
      <c r="M94" s="487"/>
      <c r="N94" s="487"/>
      <c r="O94" s="487"/>
      <c r="P94" s="487"/>
      <c r="Q94" s="237"/>
      <c r="R94" s="237"/>
      <c r="S94" s="237"/>
      <c r="T94" s="237"/>
      <c r="U94" s="102"/>
      <c r="V94" s="102"/>
      <c r="W94" s="102"/>
      <c r="X94" s="102"/>
      <c r="Y94" s="102"/>
    </row>
    <row r="95" spans="1:25" x14ac:dyDescent="0.2">
      <c r="A95" s="225">
        <v>55</v>
      </c>
      <c r="B95" s="37"/>
      <c r="C95" s="10" t="s">
        <v>104</v>
      </c>
      <c r="D95" s="10"/>
      <c r="E95" s="19" t="s">
        <v>105</v>
      </c>
      <c r="F95" s="159" t="s">
        <v>80</v>
      </c>
      <c r="G95" s="303"/>
      <c r="H95" s="268"/>
      <c r="J95" s="487"/>
      <c r="K95" s="487"/>
      <c r="L95" s="491"/>
      <c r="M95" s="487"/>
      <c r="N95" s="487"/>
      <c r="O95" s="487"/>
      <c r="P95" s="487"/>
      <c r="Q95" s="237"/>
      <c r="R95" s="237"/>
      <c r="S95" s="237"/>
      <c r="T95" s="237"/>
      <c r="U95" s="102"/>
      <c r="V95" s="102"/>
      <c r="W95" s="102"/>
      <c r="X95" s="102"/>
      <c r="Y95" s="102"/>
    </row>
    <row r="96" spans="1:25" x14ac:dyDescent="0.2">
      <c r="A96" s="225">
        <v>56</v>
      </c>
      <c r="B96" s="37"/>
      <c r="C96" s="86" t="s">
        <v>283</v>
      </c>
      <c r="D96" s="10"/>
      <c r="E96" s="19"/>
      <c r="F96" s="159"/>
      <c r="G96" s="303"/>
      <c r="H96" s="268"/>
      <c r="I96" s="490"/>
      <c r="J96" s="487"/>
      <c r="K96" s="487"/>
      <c r="L96" s="491"/>
      <c r="M96" s="487"/>
      <c r="N96" s="487"/>
      <c r="O96" s="487"/>
      <c r="P96" s="487"/>
      <c r="Q96" s="237"/>
      <c r="R96" s="237"/>
      <c r="S96" s="237"/>
      <c r="T96" s="237"/>
      <c r="U96" s="102"/>
      <c r="V96" s="102"/>
      <c r="W96" s="102"/>
      <c r="X96" s="102"/>
      <c r="Y96" s="102"/>
    </row>
    <row r="97" spans="1:25" x14ac:dyDescent="0.2">
      <c r="A97" s="225">
        <v>57</v>
      </c>
      <c r="B97" s="37"/>
      <c r="C97" s="10" t="s">
        <v>446</v>
      </c>
      <c r="D97" s="10"/>
      <c r="E97" s="19">
        <v>150</v>
      </c>
      <c r="F97" s="159">
        <v>1100</v>
      </c>
      <c r="G97" s="303">
        <f>I97*J97*(1.0765)</f>
        <v>21530</v>
      </c>
      <c r="H97" s="268" t="s">
        <v>517</v>
      </c>
      <c r="I97" s="490">
        <f>'KIPP Assumptions'!B97</f>
        <v>5</v>
      </c>
      <c r="J97" s="314">
        <v>4000</v>
      </c>
      <c r="K97" s="487"/>
      <c r="L97" s="491"/>
      <c r="M97" s="487"/>
      <c r="N97" s="487"/>
      <c r="O97" s="487"/>
      <c r="P97" s="487"/>
      <c r="Q97" s="237"/>
      <c r="R97" s="237"/>
      <c r="S97" s="237"/>
      <c r="T97" s="237"/>
      <c r="U97" s="102"/>
      <c r="V97" s="102"/>
      <c r="W97" s="102"/>
      <c r="X97" s="102"/>
      <c r="Y97" s="102"/>
    </row>
    <row r="98" spans="1:25" x14ac:dyDescent="0.2">
      <c r="A98" s="225">
        <v>58</v>
      </c>
      <c r="B98" s="37"/>
      <c r="C98" s="86"/>
      <c r="D98" s="10"/>
      <c r="E98" s="19"/>
      <c r="F98" s="159"/>
      <c r="G98" s="303"/>
      <c r="H98" s="268"/>
      <c r="I98" s="490"/>
      <c r="J98" s="487"/>
      <c r="K98" s="487"/>
      <c r="L98" s="491"/>
      <c r="M98" s="487"/>
      <c r="N98" s="487"/>
      <c r="O98" s="487"/>
      <c r="P98" s="487"/>
      <c r="Q98" s="237"/>
      <c r="R98" s="237"/>
      <c r="S98" s="237"/>
      <c r="T98" s="237"/>
      <c r="U98" s="102"/>
      <c r="V98" s="102"/>
      <c r="W98" s="102"/>
      <c r="X98" s="102"/>
      <c r="Y98" s="102"/>
    </row>
    <row r="99" spans="1:25" x14ac:dyDescent="0.2">
      <c r="A99" s="225">
        <v>59</v>
      </c>
      <c r="D99" s="14"/>
      <c r="E99" s="15"/>
      <c r="F99" s="167"/>
      <c r="G99" s="315"/>
      <c r="H99" s="283"/>
      <c r="I99" s="490"/>
      <c r="J99" s="487"/>
      <c r="K99" s="487"/>
      <c r="L99" s="491"/>
      <c r="M99" s="487"/>
      <c r="N99" s="487"/>
      <c r="O99" s="487"/>
      <c r="P99" s="487"/>
      <c r="Q99" s="237"/>
      <c r="R99" s="237"/>
      <c r="S99" s="237"/>
      <c r="T99" s="237"/>
      <c r="U99" s="102"/>
      <c r="V99" s="102"/>
      <c r="W99" s="102"/>
      <c r="X99" s="102"/>
      <c r="Y99" s="102"/>
    </row>
    <row r="100" spans="1:25" ht="15" x14ac:dyDescent="0.25">
      <c r="A100" s="226">
        <v>60</v>
      </c>
      <c r="B100" s="88" t="s">
        <v>106</v>
      </c>
      <c r="C100" s="52"/>
      <c r="D100" s="52"/>
      <c r="E100" s="50"/>
      <c r="F100" s="163"/>
      <c r="G100" s="306">
        <f>SUM(G78:G99)</f>
        <v>533221.03886956477</v>
      </c>
      <c r="H100" s="271"/>
      <c r="I100" s="490"/>
      <c r="J100" s="487"/>
      <c r="K100" s="487"/>
      <c r="L100" s="491"/>
      <c r="M100" s="487"/>
      <c r="N100" s="487"/>
      <c r="O100" s="487"/>
      <c r="P100" s="487"/>
      <c r="Q100" s="237"/>
      <c r="R100" s="237"/>
      <c r="S100" s="237"/>
      <c r="T100" s="237"/>
      <c r="U100" s="102"/>
      <c r="V100" s="102"/>
      <c r="W100" s="102"/>
      <c r="X100" s="102"/>
      <c r="Y100" s="102"/>
    </row>
    <row r="101" spans="1:25" x14ac:dyDescent="0.2">
      <c r="A101" s="225"/>
      <c r="D101" s="14"/>
      <c r="E101" s="15"/>
      <c r="F101" s="167"/>
      <c r="G101" s="315"/>
      <c r="H101" s="283"/>
      <c r="I101" s="490"/>
      <c r="J101" s="487"/>
      <c r="K101" s="487"/>
      <c r="L101" s="491"/>
      <c r="M101" s="487"/>
      <c r="N101" s="487"/>
      <c r="O101" s="487"/>
      <c r="P101" s="487"/>
      <c r="Q101" s="237"/>
      <c r="R101" s="237"/>
      <c r="S101" s="237"/>
      <c r="T101" s="237"/>
      <c r="U101" s="102"/>
      <c r="V101" s="102"/>
      <c r="W101" s="102"/>
      <c r="X101" s="102"/>
      <c r="Y101" s="102"/>
    </row>
    <row r="102" spans="1:25" s="5" customFormat="1" ht="15" x14ac:dyDescent="0.25">
      <c r="A102" s="227"/>
      <c r="B102" s="91" t="s">
        <v>14</v>
      </c>
      <c r="C102" s="56"/>
      <c r="D102" s="60"/>
      <c r="E102" s="64"/>
      <c r="F102" s="168"/>
      <c r="G102" s="316"/>
      <c r="H102" s="284"/>
      <c r="I102" s="490"/>
      <c r="J102" s="489"/>
      <c r="K102" s="489"/>
      <c r="L102" s="491"/>
      <c r="M102" s="489"/>
      <c r="N102" s="489"/>
      <c r="O102" s="489"/>
      <c r="P102" s="489"/>
      <c r="Q102" s="244"/>
      <c r="R102" s="244"/>
      <c r="S102" s="244"/>
      <c r="T102" s="244"/>
      <c r="U102" s="240"/>
      <c r="V102" s="240"/>
      <c r="W102" s="240"/>
      <c r="X102" s="240"/>
      <c r="Y102" s="240"/>
    </row>
    <row r="103" spans="1:25" s="5" customFormat="1" ht="15" x14ac:dyDescent="0.25">
      <c r="A103" s="228"/>
      <c r="B103" s="90" t="s">
        <v>15</v>
      </c>
      <c r="C103" s="57"/>
      <c r="D103" s="61"/>
      <c r="E103" s="66"/>
      <c r="F103" s="169"/>
      <c r="G103" s="317"/>
      <c r="H103" s="285"/>
      <c r="I103" s="490"/>
      <c r="J103" s="489"/>
      <c r="K103" s="489"/>
      <c r="L103" s="491"/>
      <c r="M103" s="489"/>
      <c r="N103" s="489"/>
      <c r="O103" s="489"/>
      <c r="P103" s="489"/>
      <c r="Q103" s="244"/>
      <c r="R103" s="244"/>
      <c r="S103" s="244"/>
      <c r="T103" s="244"/>
      <c r="U103" s="240"/>
      <c r="V103" s="240"/>
      <c r="W103" s="240"/>
      <c r="X103" s="240"/>
      <c r="Y103" s="240"/>
    </row>
    <row r="104" spans="1:25" x14ac:dyDescent="0.2">
      <c r="A104" s="225"/>
      <c r="B104" s="10"/>
      <c r="C104" s="10" t="s">
        <v>76</v>
      </c>
      <c r="D104" s="14"/>
      <c r="E104" s="62"/>
      <c r="F104" s="158"/>
      <c r="G104" s="302"/>
      <c r="H104" s="267"/>
      <c r="I104" s="490"/>
      <c r="J104" s="487"/>
      <c r="K104" s="487"/>
      <c r="L104" s="491"/>
      <c r="M104" s="487"/>
      <c r="N104" s="487"/>
      <c r="O104" s="487"/>
      <c r="P104" s="487"/>
      <c r="Q104" s="237"/>
      <c r="R104" s="237"/>
      <c r="S104" s="237"/>
      <c r="T104" s="237"/>
      <c r="U104" s="102"/>
      <c r="V104" s="102"/>
      <c r="W104" s="102"/>
      <c r="X104" s="102"/>
      <c r="Y104" s="102"/>
    </row>
    <row r="105" spans="1:25" x14ac:dyDescent="0.2">
      <c r="A105" s="225">
        <v>61</v>
      </c>
      <c r="B105" s="37"/>
      <c r="C105" s="10"/>
      <c r="D105" s="10" t="s">
        <v>117</v>
      </c>
      <c r="E105" s="19" t="s">
        <v>77</v>
      </c>
      <c r="F105" s="159" t="s">
        <v>107</v>
      </c>
      <c r="G105" s="303">
        <f>+I105*J105</f>
        <v>159250</v>
      </c>
      <c r="H105" s="268" t="s">
        <v>517</v>
      </c>
      <c r="I105" s="493">
        <f>SUM('KIPP Assumptions'!B86:B87)</f>
        <v>3.5</v>
      </c>
      <c r="J105" s="314">
        <v>45500</v>
      </c>
      <c r="K105" s="487"/>
      <c r="L105" s="491"/>
      <c r="M105" s="487"/>
      <c r="N105" s="487"/>
      <c r="O105" s="487"/>
      <c r="P105" s="487"/>
      <c r="Q105" s="237"/>
      <c r="R105" s="237"/>
      <c r="S105" s="237"/>
      <c r="T105" s="237"/>
      <c r="U105" s="102"/>
      <c r="V105" s="102"/>
      <c r="W105" s="102"/>
      <c r="X105" s="102"/>
      <c r="Y105" s="102"/>
    </row>
    <row r="106" spans="1:25" x14ac:dyDescent="0.2">
      <c r="A106" s="225">
        <v>62</v>
      </c>
      <c r="B106" s="37"/>
      <c r="C106" s="10"/>
      <c r="D106" s="10" t="s">
        <v>285</v>
      </c>
      <c r="E106" s="19" t="s">
        <v>108</v>
      </c>
      <c r="F106" s="159" t="s">
        <v>107</v>
      </c>
      <c r="G106" s="303">
        <f t="shared" ref="G106:G107" si="1">+I106*J106</f>
        <v>79500</v>
      </c>
      <c r="H106" s="268" t="s">
        <v>517</v>
      </c>
      <c r="I106" s="493">
        <f>SUM('KIPP Assumptions'!B89,'KIPP Assumptions'!B90)</f>
        <v>1.5</v>
      </c>
      <c r="J106" s="314">
        <v>53000</v>
      </c>
      <c r="K106" s="487"/>
      <c r="L106" s="491"/>
      <c r="M106" s="487"/>
      <c r="N106" s="487"/>
      <c r="O106" s="487"/>
      <c r="P106" s="487"/>
      <c r="Q106" s="237"/>
      <c r="R106" s="237"/>
      <c r="S106" s="237"/>
      <c r="T106" s="237"/>
      <c r="U106" s="102"/>
      <c r="V106" s="102"/>
      <c r="W106" s="102"/>
      <c r="X106" s="102"/>
      <c r="Y106" s="102"/>
    </row>
    <row r="107" spans="1:25" x14ac:dyDescent="0.2">
      <c r="A107" s="225">
        <v>63</v>
      </c>
      <c r="B107" s="37"/>
      <c r="C107" s="10"/>
      <c r="D107" s="10" t="s">
        <v>78</v>
      </c>
      <c r="E107" s="19" t="s">
        <v>79</v>
      </c>
      <c r="F107" s="159" t="s">
        <v>107</v>
      </c>
      <c r="G107" s="303">
        <f t="shared" si="1"/>
        <v>30000</v>
      </c>
      <c r="H107" s="268" t="s">
        <v>517</v>
      </c>
      <c r="I107" s="493">
        <f>'KIPP Assumptions'!B88</f>
        <v>1</v>
      </c>
      <c r="J107" s="314">
        <v>30000</v>
      </c>
      <c r="K107" s="487"/>
      <c r="L107" s="491"/>
      <c r="M107" s="487"/>
      <c r="N107" s="487"/>
      <c r="O107" s="487"/>
      <c r="P107" s="487"/>
      <c r="Q107" s="237"/>
      <c r="R107" s="237"/>
      <c r="S107" s="237"/>
      <c r="T107" s="237"/>
      <c r="U107" s="102"/>
      <c r="V107" s="102"/>
      <c r="W107" s="102"/>
      <c r="X107" s="102"/>
      <c r="Y107" s="102"/>
    </row>
    <row r="108" spans="1:25" x14ac:dyDescent="0.2">
      <c r="A108" s="225">
        <v>64</v>
      </c>
      <c r="B108" s="37"/>
      <c r="C108" s="10"/>
      <c r="D108" s="10" t="s">
        <v>81</v>
      </c>
      <c r="E108" s="19" t="s">
        <v>82</v>
      </c>
      <c r="F108" s="159" t="s">
        <v>107</v>
      </c>
      <c r="G108" s="303">
        <v>0</v>
      </c>
      <c r="H108" s="268" t="s">
        <v>517</v>
      </c>
      <c r="I108" s="490">
        <v>0</v>
      </c>
      <c r="J108" s="314"/>
      <c r="K108" s="487"/>
      <c r="L108" s="491"/>
      <c r="M108" s="487"/>
      <c r="N108" s="487"/>
      <c r="O108" s="487"/>
      <c r="P108" s="487"/>
      <c r="Q108" s="237"/>
      <c r="R108" s="237"/>
      <c r="S108" s="237"/>
      <c r="T108" s="237"/>
      <c r="U108" s="102"/>
      <c r="V108" s="102"/>
      <c r="W108" s="102"/>
      <c r="X108" s="102"/>
      <c r="Y108" s="102"/>
    </row>
    <row r="109" spans="1:25" x14ac:dyDescent="0.2">
      <c r="A109" s="225">
        <v>65</v>
      </c>
      <c r="B109" s="37"/>
      <c r="C109" s="10" t="s">
        <v>83</v>
      </c>
      <c r="D109" s="10"/>
      <c r="E109" s="19" t="s">
        <v>84</v>
      </c>
      <c r="F109" s="159" t="s">
        <v>107</v>
      </c>
      <c r="G109" s="303">
        <v>33893.548387096773</v>
      </c>
      <c r="H109" s="268" t="s">
        <v>444</v>
      </c>
      <c r="I109" s="490"/>
      <c r="J109" s="491"/>
      <c r="K109" s="487"/>
      <c r="L109" s="491"/>
      <c r="M109" s="487"/>
      <c r="N109" s="487"/>
      <c r="O109" s="487"/>
      <c r="P109" s="487"/>
      <c r="Q109" s="237"/>
      <c r="R109" s="237"/>
      <c r="S109" s="237"/>
      <c r="T109" s="237"/>
      <c r="U109" s="102"/>
      <c r="V109" s="102"/>
      <c r="W109" s="102"/>
      <c r="X109" s="102"/>
      <c r="Y109" s="102"/>
    </row>
    <row r="110" spans="1:25" x14ac:dyDescent="0.2">
      <c r="A110" s="225">
        <v>66</v>
      </c>
      <c r="B110" s="37"/>
      <c r="C110" s="10" t="s">
        <v>85</v>
      </c>
      <c r="D110" s="10"/>
      <c r="E110" s="19">
        <v>430</v>
      </c>
      <c r="F110" s="159">
        <v>1210</v>
      </c>
      <c r="G110" s="303"/>
      <c r="H110" s="268"/>
      <c r="I110" s="490"/>
      <c r="J110" s="487"/>
      <c r="K110" s="487"/>
      <c r="L110" s="491"/>
      <c r="M110" s="487"/>
      <c r="N110" s="487"/>
      <c r="O110" s="487"/>
      <c r="P110" s="487"/>
      <c r="Q110" s="237"/>
      <c r="R110" s="237"/>
      <c r="S110" s="237"/>
      <c r="T110" s="237"/>
      <c r="U110" s="102"/>
      <c r="V110" s="102"/>
      <c r="W110" s="102"/>
      <c r="X110" s="102"/>
      <c r="Y110" s="102"/>
    </row>
    <row r="111" spans="1:25" x14ac:dyDescent="0.2">
      <c r="A111" s="225">
        <v>67</v>
      </c>
      <c r="B111" s="37"/>
      <c r="C111" s="10" t="s">
        <v>87</v>
      </c>
      <c r="D111" s="10"/>
      <c r="E111" s="19" t="s">
        <v>88</v>
      </c>
      <c r="F111" s="159" t="s">
        <v>107</v>
      </c>
      <c r="G111" s="303"/>
      <c r="H111" s="268"/>
      <c r="I111" s="490"/>
      <c r="J111" s="487"/>
      <c r="K111" s="487"/>
      <c r="L111" s="491"/>
      <c r="M111" s="487"/>
      <c r="N111" s="487"/>
      <c r="O111" s="487"/>
      <c r="P111" s="487"/>
      <c r="Q111" s="237"/>
      <c r="R111" s="237"/>
      <c r="S111" s="237"/>
      <c r="T111" s="237"/>
      <c r="U111" s="102"/>
      <c r="V111" s="102"/>
      <c r="W111" s="102"/>
      <c r="X111" s="102"/>
      <c r="Y111" s="102"/>
    </row>
    <row r="112" spans="1:25" x14ac:dyDescent="0.2">
      <c r="A112" s="225"/>
      <c r="B112" s="37"/>
      <c r="C112" s="10" t="s">
        <v>109</v>
      </c>
      <c r="D112" s="10"/>
      <c r="E112" s="62"/>
      <c r="F112" s="158"/>
      <c r="G112" s="302"/>
      <c r="H112" s="267"/>
      <c r="I112" s="490"/>
      <c r="J112" s="487"/>
      <c r="K112" s="487"/>
      <c r="L112" s="491"/>
      <c r="M112" s="487"/>
      <c r="N112" s="487"/>
      <c r="O112" s="487"/>
      <c r="P112" s="487"/>
      <c r="Q112" s="237"/>
      <c r="R112" s="237"/>
      <c r="S112" s="237"/>
      <c r="T112" s="237"/>
      <c r="U112" s="102"/>
      <c r="V112" s="102"/>
      <c r="W112" s="102"/>
      <c r="X112" s="102"/>
      <c r="Y112" s="102"/>
    </row>
    <row r="113" spans="1:25" x14ac:dyDescent="0.2">
      <c r="A113" s="225">
        <v>68</v>
      </c>
      <c r="B113" s="37"/>
      <c r="C113" s="10"/>
      <c r="D113" s="10" t="s">
        <v>110</v>
      </c>
      <c r="E113" s="19" t="s">
        <v>90</v>
      </c>
      <c r="F113" s="159" t="s">
        <v>107</v>
      </c>
      <c r="G113" s="303">
        <v>5941.5322580645161</v>
      </c>
      <c r="H113" s="268" t="s">
        <v>431</v>
      </c>
      <c r="I113" s="490"/>
      <c r="J113" s="491"/>
      <c r="K113" s="487"/>
      <c r="L113" s="491"/>
      <c r="M113" s="487"/>
      <c r="N113" s="487"/>
      <c r="O113" s="487"/>
      <c r="P113" s="487"/>
      <c r="Q113" s="237"/>
      <c r="R113" s="237"/>
      <c r="S113" s="237"/>
      <c r="T113" s="237"/>
      <c r="U113" s="102"/>
      <c r="V113" s="102"/>
      <c r="W113" s="102"/>
      <c r="X113" s="102"/>
      <c r="Y113" s="102"/>
    </row>
    <row r="114" spans="1:25" x14ac:dyDescent="0.2">
      <c r="A114" s="225">
        <v>69</v>
      </c>
      <c r="B114" s="37"/>
      <c r="C114" s="10"/>
      <c r="D114" s="10" t="s">
        <v>91</v>
      </c>
      <c r="E114" s="19" t="s">
        <v>92</v>
      </c>
      <c r="F114" s="159" t="s">
        <v>107</v>
      </c>
      <c r="G114" s="303">
        <v>0</v>
      </c>
      <c r="H114" s="268" t="s">
        <v>514</v>
      </c>
      <c r="I114" s="490"/>
      <c r="J114" s="491"/>
      <c r="K114" s="487"/>
      <c r="L114" s="491"/>
      <c r="M114" s="487"/>
      <c r="N114" s="487"/>
      <c r="O114" s="487"/>
      <c r="P114" s="487"/>
      <c r="Q114" s="237"/>
      <c r="R114" s="237"/>
      <c r="S114" s="237"/>
      <c r="T114" s="237"/>
      <c r="U114" s="102"/>
      <c r="V114" s="102"/>
      <c r="W114" s="102"/>
      <c r="X114" s="102"/>
      <c r="Y114" s="102"/>
    </row>
    <row r="115" spans="1:25" x14ac:dyDescent="0.2">
      <c r="A115" s="225">
        <v>70</v>
      </c>
      <c r="B115" s="37"/>
      <c r="C115" s="10" t="s">
        <v>93</v>
      </c>
      <c r="D115" s="10"/>
      <c r="E115" s="19" t="s">
        <v>94</v>
      </c>
      <c r="F115" s="159" t="s">
        <v>107</v>
      </c>
      <c r="G115" s="303"/>
      <c r="H115" s="268"/>
      <c r="I115" s="490"/>
      <c r="J115" s="487"/>
      <c r="K115" s="487"/>
      <c r="L115" s="491"/>
      <c r="M115" s="487"/>
      <c r="N115" s="487"/>
      <c r="O115" s="487"/>
      <c r="P115" s="487"/>
      <c r="Q115" s="237"/>
      <c r="R115" s="237"/>
      <c r="S115" s="237"/>
      <c r="T115" s="237"/>
      <c r="U115" s="102"/>
      <c r="V115" s="102"/>
      <c r="W115" s="102"/>
      <c r="X115" s="102"/>
      <c r="Y115" s="102"/>
    </row>
    <row r="116" spans="1:25" x14ac:dyDescent="0.2">
      <c r="A116" s="225">
        <v>71</v>
      </c>
      <c r="B116" s="37"/>
      <c r="C116" s="10" t="s">
        <v>95</v>
      </c>
      <c r="D116" s="10"/>
      <c r="E116" s="19" t="s">
        <v>96</v>
      </c>
      <c r="F116" s="159" t="s">
        <v>107</v>
      </c>
      <c r="G116" s="303"/>
      <c r="H116" s="268"/>
      <c r="I116" s="490"/>
      <c r="J116" s="487"/>
      <c r="K116" s="487"/>
      <c r="L116" s="491"/>
      <c r="M116" s="487"/>
      <c r="N116" s="487"/>
      <c r="O116" s="487"/>
      <c r="P116" s="487"/>
      <c r="Q116" s="237"/>
      <c r="R116" s="237"/>
      <c r="S116" s="237"/>
      <c r="T116" s="237"/>
      <c r="U116" s="102"/>
      <c r="V116" s="102"/>
      <c r="W116" s="102"/>
      <c r="X116" s="102"/>
      <c r="Y116" s="102"/>
    </row>
    <row r="117" spans="1:25" x14ac:dyDescent="0.2">
      <c r="A117" s="225">
        <v>72</v>
      </c>
      <c r="B117" s="37"/>
      <c r="C117" s="10" t="s">
        <v>295</v>
      </c>
      <c r="D117" s="10"/>
      <c r="E117" s="19" t="s">
        <v>97</v>
      </c>
      <c r="F117" s="159" t="s">
        <v>34</v>
      </c>
      <c r="G117" s="303">
        <f>+SUM(G$105:G$108)*$I117</f>
        <v>19020.333535891667</v>
      </c>
      <c r="H117" s="268"/>
      <c r="I117" s="492">
        <f>'KIPP Assumptions'!$B$105+'KIPP Assumptions'!$B$106+'KIPP Assumptions'!$B$107+'KIPP Assumptions'!$B$108+'KIPP Assumptions'!$B$109</f>
        <v>7.0773334087038758E-2</v>
      </c>
      <c r="J117" s="487"/>
      <c r="K117" s="487"/>
      <c r="L117" s="491"/>
      <c r="M117" s="487"/>
      <c r="N117" s="487"/>
      <c r="O117" s="487"/>
      <c r="P117" s="487"/>
      <c r="Q117" s="237"/>
      <c r="R117" s="237"/>
      <c r="S117" s="237"/>
      <c r="T117" s="237"/>
      <c r="U117" s="102"/>
      <c r="V117" s="102"/>
      <c r="W117" s="102"/>
      <c r="X117" s="102"/>
      <c r="Y117" s="102"/>
    </row>
    <row r="118" spans="1:25" x14ac:dyDescent="0.2">
      <c r="A118" s="225">
        <v>73</v>
      </c>
      <c r="B118" s="37"/>
      <c r="C118" s="10" t="s">
        <v>98</v>
      </c>
      <c r="D118" s="10"/>
      <c r="E118" s="19" t="s">
        <v>99</v>
      </c>
      <c r="F118" s="159" t="s">
        <v>34</v>
      </c>
      <c r="G118" s="303">
        <f t="shared" ref="G118:G121" si="2">+SUM(G$105:G$108)*$I118</f>
        <v>16662.5</v>
      </c>
      <c r="H118" s="268"/>
      <c r="I118" s="492">
        <f>'KIPP Assumptions'!$B$111</f>
        <v>6.2E-2</v>
      </c>
      <c r="J118" s="487"/>
      <c r="K118" s="487"/>
      <c r="L118" s="491"/>
      <c r="M118" s="487"/>
      <c r="N118" s="487"/>
      <c r="O118" s="487"/>
      <c r="P118" s="487"/>
      <c r="Q118" s="237"/>
      <c r="R118" s="237"/>
      <c r="S118" s="237"/>
      <c r="T118" s="237"/>
      <c r="U118" s="102"/>
      <c r="V118" s="102"/>
      <c r="W118" s="102"/>
      <c r="X118" s="102"/>
      <c r="Y118" s="102"/>
    </row>
    <row r="119" spans="1:25" x14ac:dyDescent="0.2">
      <c r="A119" s="225">
        <v>74</v>
      </c>
      <c r="B119" s="37"/>
      <c r="C119" s="10" t="s">
        <v>100</v>
      </c>
      <c r="D119" s="10"/>
      <c r="E119" s="19" t="s">
        <v>101</v>
      </c>
      <c r="F119" s="159" t="s">
        <v>34</v>
      </c>
      <c r="G119" s="303">
        <f t="shared" si="2"/>
        <v>3896.875</v>
      </c>
      <c r="H119" s="268"/>
      <c r="I119" s="492">
        <f>'KIPP Assumptions'!$B$110</f>
        <v>1.4500000000000001E-2</v>
      </c>
      <c r="J119" s="487"/>
      <c r="K119" s="487"/>
      <c r="L119" s="491"/>
      <c r="M119" s="487"/>
      <c r="N119" s="487"/>
      <c r="O119" s="487"/>
      <c r="P119" s="487"/>
      <c r="Q119" s="237"/>
      <c r="R119" s="237"/>
      <c r="S119" s="237"/>
      <c r="T119" s="237"/>
      <c r="U119" s="102"/>
      <c r="V119" s="102"/>
      <c r="W119" s="102"/>
      <c r="X119" s="102"/>
      <c r="Y119" s="102"/>
    </row>
    <row r="120" spans="1:25" x14ac:dyDescent="0.2">
      <c r="A120" s="225">
        <v>75</v>
      </c>
      <c r="B120" s="37"/>
      <c r="C120" s="10" t="s">
        <v>219</v>
      </c>
      <c r="D120" s="10"/>
      <c r="E120" s="19" t="s">
        <v>220</v>
      </c>
      <c r="F120" s="159">
        <v>1200</v>
      </c>
      <c r="G120" s="303">
        <f t="shared" si="2"/>
        <v>8634.6920832016658</v>
      </c>
      <c r="H120" s="268"/>
      <c r="I120" s="492">
        <f>+'KIPP Assumptions'!$B$113</f>
        <v>3.21290868212155E-2</v>
      </c>
      <c r="J120" s="487"/>
      <c r="K120" s="487"/>
      <c r="L120" s="491"/>
      <c r="M120" s="487"/>
      <c r="N120" s="487"/>
      <c r="O120" s="487"/>
      <c r="P120" s="487"/>
      <c r="Q120" s="237"/>
      <c r="R120" s="237"/>
      <c r="S120" s="237"/>
      <c r="T120" s="237"/>
      <c r="U120" s="102"/>
      <c r="V120" s="102"/>
      <c r="W120" s="102"/>
      <c r="X120" s="102"/>
      <c r="Y120" s="102"/>
    </row>
    <row r="121" spans="1:25" x14ac:dyDescent="0.2">
      <c r="A121" s="225">
        <v>76</v>
      </c>
      <c r="B121" s="37"/>
      <c r="C121" s="10" t="s">
        <v>102</v>
      </c>
      <c r="D121" s="10"/>
      <c r="E121" s="19" t="s">
        <v>103</v>
      </c>
      <c r="F121" s="159" t="s">
        <v>34</v>
      </c>
      <c r="G121" s="303">
        <f t="shared" si="2"/>
        <v>268.75</v>
      </c>
      <c r="H121" s="268"/>
      <c r="I121" s="492">
        <f>+'KIPP Assumptions'!$B$112</f>
        <v>1E-3</v>
      </c>
      <c r="J121" s="487"/>
      <c r="K121" s="487"/>
      <c r="L121" s="491"/>
      <c r="M121" s="487"/>
      <c r="N121" s="487"/>
      <c r="O121" s="487"/>
      <c r="P121" s="487"/>
      <c r="Q121" s="237"/>
      <c r="R121" s="237"/>
      <c r="S121" s="237"/>
      <c r="T121" s="237"/>
      <c r="U121" s="102"/>
      <c r="V121" s="102"/>
      <c r="W121" s="102"/>
      <c r="X121" s="102"/>
      <c r="Y121" s="102"/>
    </row>
    <row r="122" spans="1:25" x14ac:dyDescent="0.2">
      <c r="A122" s="225">
        <v>77</v>
      </c>
      <c r="B122" s="37"/>
      <c r="C122" s="10" t="s">
        <v>104</v>
      </c>
      <c r="D122" s="10"/>
      <c r="E122" s="19" t="s">
        <v>105</v>
      </c>
      <c r="F122" s="159" t="s">
        <v>34</v>
      </c>
      <c r="G122" s="303"/>
      <c r="H122" s="268"/>
      <c r="I122" s="490"/>
      <c r="J122" s="487"/>
      <c r="K122" s="487"/>
      <c r="L122" s="491"/>
      <c r="M122" s="487"/>
      <c r="N122" s="487"/>
      <c r="O122" s="487"/>
      <c r="P122" s="487"/>
      <c r="Q122" s="237"/>
      <c r="R122" s="237"/>
      <c r="S122" s="237"/>
      <c r="T122" s="237"/>
      <c r="U122" s="102"/>
      <c r="V122" s="102"/>
      <c r="W122" s="102"/>
      <c r="X122" s="102"/>
      <c r="Y122" s="102"/>
    </row>
    <row r="123" spans="1:25" x14ac:dyDescent="0.2">
      <c r="A123" s="225">
        <v>78</v>
      </c>
      <c r="B123" s="37"/>
      <c r="C123" s="86" t="s">
        <v>283</v>
      </c>
      <c r="D123" s="10"/>
      <c r="E123" s="19"/>
      <c r="F123" s="159"/>
      <c r="G123" s="303"/>
      <c r="H123" s="268"/>
      <c r="I123" s="490"/>
      <c r="J123" s="487"/>
      <c r="K123" s="487"/>
      <c r="L123" s="491"/>
      <c r="M123" s="487"/>
      <c r="N123" s="487"/>
      <c r="O123" s="487"/>
      <c r="P123" s="487"/>
      <c r="Q123" s="237"/>
      <c r="R123" s="237"/>
      <c r="S123" s="237"/>
      <c r="T123" s="237"/>
      <c r="U123" s="102"/>
      <c r="V123" s="102"/>
      <c r="W123" s="102"/>
      <c r="X123" s="102"/>
      <c r="Y123" s="102"/>
    </row>
    <row r="124" spans="1:25" x14ac:dyDescent="0.2">
      <c r="A124" s="225">
        <v>79</v>
      </c>
      <c r="B124" s="37"/>
      <c r="C124" s="86"/>
      <c r="D124" s="10"/>
      <c r="E124" s="19"/>
      <c r="F124" s="159"/>
      <c r="G124" s="303"/>
      <c r="H124" s="268"/>
      <c r="I124" s="490"/>
      <c r="J124" s="487"/>
      <c r="K124" s="487"/>
      <c r="L124" s="491"/>
      <c r="M124" s="487"/>
      <c r="N124" s="487"/>
      <c r="O124" s="487"/>
      <c r="P124" s="487"/>
      <c r="Q124" s="237"/>
      <c r="R124" s="237"/>
      <c r="S124" s="237"/>
      <c r="T124" s="237"/>
      <c r="U124" s="102"/>
      <c r="V124" s="102"/>
      <c r="W124" s="102"/>
      <c r="X124" s="102"/>
      <c r="Y124" s="102"/>
    </row>
    <row r="125" spans="1:25" x14ac:dyDescent="0.2">
      <c r="A125" s="225">
        <v>80</v>
      </c>
      <c r="B125" s="37"/>
      <c r="C125" s="86"/>
      <c r="D125" s="10"/>
      <c r="E125" s="19"/>
      <c r="F125" s="159"/>
      <c r="G125" s="303"/>
      <c r="H125" s="268"/>
      <c r="I125" s="490"/>
      <c r="J125" s="487"/>
      <c r="K125" s="487"/>
      <c r="L125" s="491"/>
      <c r="M125" s="487"/>
      <c r="N125" s="487"/>
      <c r="O125" s="487"/>
      <c r="P125" s="487"/>
      <c r="Q125" s="237"/>
      <c r="R125" s="237"/>
      <c r="S125" s="237"/>
      <c r="T125" s="237"/>
      <c r="U125" s="102"/>
      <c r="V125" s="102"/>
      <c r="W125" s="102"/>
      <c r="X125" s="102"/>
      <c r="Y125" s="102"/>
    </row>
    <row r="126" spans="1:25" x14ac:dyDescent="0.2">
      <c r="A126" s="225">
        <v>81</v>
      </c>
      <c r="D126" s="14"/>
      <c r="E126" s="15"/>
      <c r="F126" s="167"/>
      <c r="G126" s="315"/>
      <c r="H126" s="283"/>
      <c r="I126" s="490"/>
      <c r="J126" s="487"/>
      <c r="K126" s="487"/>
      <c r="L126" s="491"/>
      <c r="M126" s="487"/>
      <c r="N126" s="487"/>
      <c r="O126" s="487"/>
      <c r="P126" s="487"/>
      <c r="Q126" s="237"/>
      <c r="R126" s="237"/>
      <c r="S126" s="237"/>
      <c r="T126" s="237"/>
      <c r="U126" s="102"/>
      <c r="V126" s="102"/>
      <c r="W126" s="102"/>
      <c r="X126" s="102"/>
      <c r="Y126" s="102"/>
    </row>
    <row r="127" spans="1:25" ht="15" x14ac:dyDescent="0.25">
      <c r="A127" s="226">
        <v>82</v>
      </c>
      <c r="B127" s="88" t="s">
        <v>7</v>
      </c>
      <c r="C127" s="52"/>
      <c r="D127" s="52"/>
      <c r="E127" s="50"/>
      <c r="F127" s="163"/>
      <c r="G127" s="306">
        <f>SUM(G104:G126)</f>
        <v>357068.23126425466</v>
      </c>
      <c r="H127" s="271"/>
      <c r="I127" s="490"/>
      <c r="J127" s="487"/>
      <c r="K127" s="487"/>
      <c r="L127" s="491"/>
      <c r="M127" s="487"/>
      <c r="N127" s="487"/>
      <c r="O127" s="487"/>
      <c r="P127" s="487"/>
      <c r="Q127" s="237"/>
      <c r="R127" s="237"/>
      <c r="S127" s="237"/>
      <c r="T127" s="237"/>
      <c r="U127" s="102"/>
      <c r="V127" s="102"/>
      <c r="W127" s="102"/>
      <c r="X127" s="102"/>
      <c r="Y127" s="102"/>
    </row>
    <row r="128" spans="1:25" x14ac:dyDescent="0.2">
      <c r="A128" s="225"/>
      <c r="D128" s="14"/>
      <c r="E128" s="15"/>
      <c r="F128" s="167"/>
      <c r="G128" s="315"/>
      <c r="H128" s="283"/>
      <c r="I128" s="490"/>
      <c r="J128" s="487"/>
      <c r="K128" s="487"/>
      <c r="L128" s="491"/>
      <c r="M128" s="487"/>
      <c r="N128" s="487"/>
      <c r="O128" s="487"/>
      <c r="P128" s="487"/>
      <c r="Q128" s="237"/>
      <c r="R128" s="237"/>
      <c r="S128" s="237"/>
      <c r="T128" s="237"/>
      <c r="U128" s="102"/>
      <c r="V128" s="102"/>
      <c r="W128" s="102"/>
      <c r="X128" s="102"/>
      <c r="Y128" s="102"/>
    </row>
    <row r="129" spans="1:25" x14ac:dyDescent="0.2">
      <c r="A129" s="223"/>
      <c r="B129" s="112" t="s">
        <v>276</v>
      </c>
      <c r="C129" s="113"/>
      <c r="D129" s="114"/>
      <c r="E129" s="62"/>
      <c r="F129" s="158"/>
      <c r="G129" s="302"/>
      <c r="H129" s="267"/>
      <c r="I129" s="490"/>
      <c r="J129" s="487"/>
      <c r="K129" s="487"/>
      <c r="L129" s="491"/>
      <c r="M129" s="487"/>
      <c r="N129" s="487"/>
      <c r="O129" s="487"/>
      <c r="P129" s="487"/>
      <c r="Q129" s="237"/>
      <c r="R129" s="237"/>
      <c r="S129" s="237"/>
      <c r="T129" s="237"/>
      <c r="U129" s="102"/>
      <c r="V129" s="102"/>
      <c r="W129" s="102"/>
      <c r="X129" s="102"/>
      <c r="Y129" s="102"/>
    </row>
    <row r="130" spans="1:25" s="5" customFormat="1" ht="14.25" customHeight="1" x14ac:dyDescent="0.25">
      <c r="A130" s="228"/>
      <c r="B130" s="90" t="s">
        <v>275</v>
      </c>
      <c r="C130" s="111"/>
      <c r="D130" s="111"/>
      <c r="E130" s="78"/>
      <c r="F130" s="170"/>
      <c r="G130" s="318"/>
      <c r="H130" s="286"/>
      <c r="I130" s="490"/>
      <c r="J130" s="489"/>
      <c r="K130" s="489"/>
      <c r="L130" s="491"/>
      <c r="M130" s="489"/>
      <c r="N130" s="489"/>
      <c r="O130" s="489"/>
      <c r="P130" s="489"/>
      <c r="Q130" s="244"/>
      <c r="R130" s="244"/>
      <c r="S130" s="244"/>
      <c r="T130" s="244"/>
      <c r="U130" s="240"/>
      <c r="V130" s="240"/>
      <c r="W130" s="240"/>
      <c r="X130" s="240"/>
      <c r="Y130" s="240"/>
    </row>
    <row r="131" spans="1:25" s="5" customFormat="1" ht="13.5" customHeight="1" x14ac:dyDescent="0.25">
      <c r="A131" s="225"/>
      <c r="B131" s="80"/>
      <c r="C131" s="10" t="s">
        <v>76</v>
      </c>
      <c r="D131" s="21"/>
      <c r="E131" s="62"/>
      <c r="F131" s="158"/>
      <c r="G131" s="302"/>
      <c r="H131" s="267"/>
      <c r="I131" s="490"/>
      <c r="J131" s="489"/>
      <c r="K131" s="489"/>
      <c r="L131" s="491"/>
      <c r="M131" s="489"/>
      <c r="N131" s="489"/>
      <c r="O131" s="489"/>
      <c r="P131" s="489"/>
      <c r="Q131" s="244"/>
      <c r="R131" s="244"/>
      <c r="S131" s="244"/>
      <c r="T131" s="244"/>
      <c r="U131" s="240"/>
      <c r="V131" s="240"/>
      <c r="W131" s="240"/>
      <c r="X131" s="240"/>
      <c r="Y131" s="240"/>
    </row>
    <row r="132" spans="1:25" x14ac:dyDescent="0.2">
      <c r="A132" s="225">
        <v>83</v>
      </c>
      <c r="B132" s="37"/>
      <c r="C132" s="10"/>
      <c r="D132" s="10" t="s">
        <v>117</v>
      </c>
      <c r="E132" s="19">
        <v>112</v>
      </c>
      <c r="F132" s="159" t="s">
        <v>221</v>
      </c>
      <c r="G132" s="303">
        <f>+I132*J132</f>
        <v>101000</v>
      </c>
      <c r="H132" s="268" t="s">
        <v>517</v>
      </c>
      <c r="I132" s="490">
        <f>+'KIPP Assumptions'!B$85</f>
        <v>2</v>
      </c>
      <c r="J132" s="314">
        <v>50500</v>
      </c>
      <c r="K132" s="487"/>
      <c r="L132" s="491"/>
      <c r="M132" s="487"/>
      <c r="N132" s="487"/>
      <c r="O132" s="487"/>
      <c r="P132" s="487"/>
      <c r="Q132" s="237"/>
      <c r="R132" s="237"/>
      <c r="S132" s="237"/>
      <c r="T132" s="237"/>
      <c r="U132" s="102"/>
      <c r="V132" s="102"/>
      <c r="W132" s="102"/>
      <c r="X132" s="102"/>
      <c r="Y132" s="102"/>
    </row>
    <row r="133" spans="1:25" x14ac:dyDescent="0.2">
      <c r="A133" s="225">
        <v>84</v>
      </c>
      <c r="B133" s="37"/>
      <c r="C133" s="10"/>
      <c r="D133" s="10" t="s">
        <v>78</v>
      </c>
      <c r="E133" s="19">
        <v>115</v>
      </c>
      <c r="F133" s="159" t="s">
        <v>221</v>
      </c>
      <c r="G133" s="303"/>
      <c r="H133" s="268"/>
      <c r="I133" s="490"/>
      <c r="J133" s="487"/>
      <c r="K133" s="487"/>
      <c r="L133" s="491"/>
      <c r="M133" s="487"/>
      <c r="N133" s="487"/>
      <c r="O133" s="487"/>
      <c r="P133" s="487"/>
      <c r="Q133" s="237"/>
      <c r="R133" s="237"/>
      <c r="S133" s="237"/>
      <c r="T133" s="237"/>
      <c r="U133" s="102"/>
      <c r="V133" s="102"/>
      <c r="W133" s="102"/>
      <c r="X133" s="102"/>
      <c r="Y133" s="102"/>
    </row>
    <row r="134" spans="1:25" x14ac:dyDescent="0.2">
      <c r="A134" s="225">
        <v>85</v>
      </c>
      <c r="B134" s="37"/>
      <c r="C134" s="10"/>
      <c r="D134" s="10" t="s">
        <v>81</v>
      </c>
      <c r="E134" s="19">
        <v>123</v>
      </c>
      <c r="F134" s="159" t="s">
        <v>221</v>
      </c>
      <c r="G134" s="303"/>
      <c r="H134" s="268"/>
      <c r="I134" s="490"/>
      <c r="J134" s="487"/>
      <c r="K134" s="487"/>
      <c r="L134" s="491"/>
      <c r="M134" s="487"/>
      <c r="N134" s="487"/>
      <c r="O134" s="487"/>
      <c r="P134" s="487"/>
      <c r="Q134" s="237"/>
      <c r="R134" s="237"/>
      <c r="S134" s="237"/>
      <c r="T134" s="237"/>
      <c r="U134" s="102"/>
      <c r="V134" s="102"/>
      <c r="W134" s="102"/>
      <c r="X134" s="102"/>
      <c r="Y134" s="102"/>
    </row>
    <row r="135" spans="1:25" x14ac:dyDescent="0.2">
      <c r="A135" s="225">
        <v>86</v>
      </c>
      <c r="B135" s="37"/>
      <c r="C135" s="10" t="s">
        <v>83</v>
      </c>
      <c r="D135" s="10"/>
      <c r="E135" s="19" t="s">
        <v>84</v>
      </c>
      <c r="F135" s="159" t="s">
        <v>221</v>
      </c>
      <c r="G135" s="303">
        <v>0</v>
      </c>
      <c r="H135" s="268" t="s">
        <v>445</v>
      </c>
      <c r="I135" s="490"/>
      <c r="J135" s="491"/>
      <c r="K135" s="487"/>
      <c r="L135" s="491"/>
      <c r="M135" s="487"/>
      <c r="N135" s="487"/>
      <c r="O135" s="487"/>
      <c r="P135" s="487"/>
      <c r="Q135" s="237"/>
      <c r="R135" s="237"/>
      <c r="S135" s="237"/>
      <c r="T135" s="237"/>
      <c r="U135" s="102"/>
      <c r="V135" s="102"/>
      <c r="W135" s="102"/>
      <c r="X135" s="102"/>
      <c r="Y135" s="102"/>
    </row>
    <row r="136" spans="1:25" x14ac:dyDescent="0.2">
      <c r="A136" s="225">
        <v>87</v>
      </c>
      <c r="B136" s="37"/>
      <c r="C136" s="10" t="s">
        <v>85</v>
      </c>
      <c r="D136" s="10"/>
      <c r="E136" s="19">
        <v>430</v>
      </c>
      <c r="F136" s="159" t="s">
        <v>221</v>
      </c>
      <c r="G136" s="303"/>
      <c r="H136" s="268"/>
      <c r="I136" s="490"/>
      <c r="J136" s="487"/>
      <c r="K136" s="487"/>
      <c r="L136" s="491"/>
      <c r="M136" s="487"/>
      <c r="N136" s="487"/>
      <c r="O136" s="487"/>
      <c r="P136" s="487"/>
      <c r="Q136" s="237"/>
      <c r="R136" s="237"/>
      <c r="S136" s="237"/>
      <c r="T136" s="237"/>
      <c r="U136" s="102"/>
      <c r="V136" s="102"/>
      <c r="W136" s="102"/>
      <c r="X136" s="102"/>
      <c r="Y136" s="102"/>
    </row>
    <row r="137" spans="1:25" x14ac:dyDescent="0.2">
      <c r="A137" s="225">
        <v>88</v>
      </c>
      <c r="B137" s="37"/>
      <c r="C137" s="10" t="s">
        <v>87</v>
      </c>
      <c r="D137" s="10"/>
      <c r="E137" s="19" t="s">
        <v>88</v>
      </c>
      <c r="F137" s="159" t="s">
        <v>221</v>
      </c>
      <c r="G137" s="303"/>
      <c r="H137" s="268"/>
      <c r="I137" s="490"/>
      <c r="J137" s="487"/>
      <c r="K137" s="487"/>
      <c r="L137" s="491"/>
      <c r="M137" s="487"/>
      <c r="N137" s="487"/>
      <c r="O137" s="487"/>
      <c r="P137" s="487"/>
      <c r="Q137" s="237"/>
      <c r="R137" s="237"/>
      <c r="S137" s="237"/>
      <c r="T137" s="237"/>
      <c r="U137" s="102"/>
      <c r="V137" s="102"/>
      <c r="W137" s="102"/>
      <c r="X137" s="102"/>
      <c r="Y137" s="102"/>
    </row>
    <row r="138" spans="1:25" x14ac:dyDescent="0.2">
      <c r="A138" s="225"/>
      <c r="B138" s="37"/>
      <c r="C138" s="10" t="s">
        <v>109</v>
      </c>
      <c r="D138" s="10"/>
      <c r="E138" s="62"/>
      <c r="F138" s="158"/>
      <c r="G138" s="302"/>
      <c r="H138" s="267"/>
      <c r="I138" s="490"/>
      <c r="J138" s="487"/>
      <c r="K138" s="487"/>
      <c r="L138" s="491"/>
      <c r="M138" s="487"/>
      <c r="N138" s="487"/>
      <c r="O138" s="487"/>
      <c r="P138" s="487"/>
      <c r="Q138" s="237"/>
      <c r="R138" s="237"/>
      <c r="S138" s="237"/>
      <c r="T138" s="237"/>
      <c r="U138" s="102"/>
      <c r="V138" s="102"/>
      <c r="W138" s="102"/>
      <c r="X138" s="102"/>
      <c r="Y138" s="102"/>
    </row>
    <row r="139" spans="1:25" x14ac:dyDescent="0.2">
      <c r="A139" s="225">
        <v>89</v>
      </c>
      <c r="B139" s="37"/>
      <c r="C139" s="10"/>
      <c r="D139" s="10" t="s">
        <v>110</v>
      </c>
      <c r="E139" s="19" t="s">
        <v>90</v>
      </c>
      <c r="F139" s="159" t="s">
        <v>221</v>
      </c>
      <c r="G139" s="303">
        <v>24957.258064516132</v>
      </c>
      <c r="H139" s="268" t="s">
        <v>432</v>
      </c>
      <c r="I139" s="490"/>
      <c r="J139" s="491"/>
      <c r="K139" s="487"/>
      <c r="L139" s="491"/>
      <c r="M139" s="487"/>
      <c r="N139" s="487"/>
      <c r="O139" s="487"/>
      <c r="P139" s="487"/>
      <c r="Q139" s="237"/>
      <c r="R139" s="237"/>
      <c r="S139" s="237"/>
      <c r="T139" s="237"/>
      <c r="U139" s="102"/>
      <c r="V139" s="102"/>
      <c r="W139" s="102"/>
      <c r="X139" s="102"/>
      <c r="Y139" s="102"/>
    </row>
    <row r="140" spans="1:25" x14ac:dyDescent="0.2">
      <c r="A140" s="225">
        <v>90</v>
      </c>
      <c r="B140" s="37"/>
      <c r="C140" s="10"/>
      <c r="D140" s="10" t="s">
        <v>91</v>
      </c>
      <c r="E140" s="19" t="s">
        <v>92</v>
      </c>
      <c r="F140" s="159" t="s">
        <v>221</v>
      </c>
      <c r="G140" s="303">
        <v>1659.6774193548388</v>
      </c>
      <c r="H140" s="268" t="s">
        <v>469</v>
      </c>
      <c r="I140" s="490"/>
      <c r="J140" s="491"/>
      <c r="K140" s="487"/>
      <c r="L140" s="491"/>
      <c r="M140" s="487"/>
      <c r="N140" s="487"/>
      <c r="O140" s="487"/>
      <c r="P140" s="487"/>
      <c r="Q140" s="237"/>
      <c r="R140" s="237"/>
      <c r="S140" s="237"/>
      <c r="T140" s="237"/>
      <c r="U140" s="102"/>
      <c r="V140" s="102"/>
      <c r="W140" s="102"/>
      <c r="X140" s="102"/>
      <c r="Y140" s="102"/>
    </row>
    <row r="141" spans="1:25" x14ac:dyDescent="0.2">
      <c r="A141" s="225">
        <v>91</v>
      </c>
      <c r="B141" s="37"/>
      <c r="C141" s="10" t="s">
        <v>242</v>
      </c>
      <c r="D141" s="10"/>
      <c r="E141" s="19" t="s">
        <v>243</v>
      </c>
      <c r="F141" s="159" t="s">
        <v>221</v>
      </c>
      <c r="G141" s="303"/>
      <c r="H141" s="268"/>
      <c r="I141" s="490"/>
      <c r="J141" s="487"/>
      <c r="K141" s="487"/>
      <c r="L141" s="491"/>
      <c r="M141" s="487"/>
      <c r="N141" s="487"/>
      <c r="O141" s="487"/>
      <c r="P141" s="487"/>
      <c r="Q141" s="237"/>
      <c r="R141" s="237"/>
      <c r="S141" s="237"/>
      <c r="T141" s="237"/>
      <c r="U141" s="102"/>
      <c r="V141" s="102"/>
      <c r="W141" s="102"/>
      <c r="X141" s="102"/>
      <c r="Y141" s="102"/>
    </row>
    <row r="142" spans="1:25" x14ac:dyDescent="0.2">
      <c r="A142" s="225">
        <v>92</v>
      </c>
      <c r="B142" s="37"/>
      <c r="C142" s="10" t="s">
        <v>95</v>
      </c>
      <c r="D142" s="10"/>
      <c r="E142" s="19" t="s">
        <v>96</v>
      </c>
      <c r="F142" s="159" t="s">
        <v>221</v>
      </c>
      <c r="G142" s="303">
        <v>846.77419354838707</v>
      </c>
      <c r="H142" s="268" t="s">
        <v>436</v>
      </c>
      <c r="I142" s="490"/>
      <c r="J142" s="491"/>
      <c r="K142" s="487"/>
      <c r="L142" s="491"/>
      <c r="M142" s="487"/>
      <c r="N142" s="487"/>
      <c r="O142" s="487"/>
      <c r="P142" s="487"/>
      <c r="Q142" s="237"/>
      <c r="R142" s="237"/>
      <c r="S142" s="237"/>
      <c r="T142" s="237"/>
      <c r="U142" s="102"/>
      <c r="V142" s="102"/>
      <c r="W142" s="102"/>
      <c r="X142" s="102"/>
      <c r="Y142" s="102"/>
    </row>
    <row r="143" spans="1:25" x14ac:dyDescent="0.2">
      <c r="A143" s="225">
        <v>93</v>
      </c>
      <c r="B143" s="37"/>
      <c r="C143" s="10" t="s">
        <v>295</v>
      </c>
      <c r="D143" s="10"/>
      <c r="E143" s="19" t="s">
        <v>97</v>
      </c>
      <c r="F143" s="159" t="s">
        <v>221</v>
      </c>
      <c r="G143" s="303">
        <f>+SUM(G$132:G$134)*$I143</f>
        <v>7148.1067427909147</v>
      </c>
      <c r="H143" s="268"/>
      <c r="I143" s="492">
        <f>'KIPP Assumptions'!$B$105+'KIPP Assumptions'!$B$106+'KIPP Assumptions'!$B$107+'KIPP Assumptions'!$B$108+'KIPP Assumptions'!$B$109</f>
        <v>7.0773334087038758E-2</v>
      </c>
      <c r="J143" s="487"/>
      <c r="K143" s="487"/>
      <c r="L143" s="491"/>
      <c r="M143" s="487"/>
      <c r="N143" s="487"/>
      <c r="O143" s="487"/>
      <c r="P143" s="487"/>
      <c r="Q143" s="237"/>
      <c r="R143" s="237"/>
      <c r="S143" s="237"/>
      <c r="T143" s="237"/>
      <c r="U143" s="102"/>
      <c r="V143" s="102"/>
      <c r="W143" s="102"/>
      <c r="X143" s="102"/>
      <c r="Y143" s="102"/>
    </row>
    <row r="144" spans="1:25" x14ac:dyDescent="0.2">
      <c r="A144" s="225">
        <v>94</v>
      </c>
      <c r="B144" s="37"/>
      <c r="C144" s="10" t="s">
        <v>98</v>
      </c>
      <c r="D144" s="10"/>
      <c r="E144" s="19" t="s">
        <v>99</v>
      </c>
      <c r="F144" s="159" t="s">
        <v>221</v>
      </c>
      <c r="G144" s="303">
        <f t="shared" ref="G144:G147" si="3">+SUM(G$132:G$134)*$I144</f>
        <v>6262</v>
      </c>
      <c r="H144" s="268"/>
      <c r="I144" s="492">
        <f>'KIPP Assumptions'!$B$111</f>
        <v>6.2E-2</v>
      </c>
      <c r="J144" s="487"/>
      <c r="K144" s="487"/>
      <c r="L144" s="491"/>
      <c r="M144" s="487"/>
      <c r="N144" s="487"/>
      <c r="O144" s="487"/>
      <c r="P144" s="487"/>
      <c r="Q144" s="237"/>
      <c r="R144" s="237"/>
      <c r="S144" s="237"/>
      <c r="T144" s="237"/>
      <c r="U144" s="102"/>
      <c r="V144" s="102"/>
      <c r="W144" s="102"/>
      <c r="X144" s="102"/>
      <c r="Y144" s="102"/>
    </row>
    <row r="145" spans="1:25" x14ac:dyDescent="0.2">
      <c r="A145" s="225">
        <v>95</v>
      </c>
      <c r="B145" s="37"/>
      <c r="C145" s="10" t="s">
        <v>100</v>
      </c>
      <c r="D145" s="10"/>
      <c r="E145" s="19" t="s">
        <v>101</v>
      </c>
      <c r="F145" s="159" t="s">
        <v>221</v>
      </c>
      <c r="G145" s="303">
        <f t="shared" si="3"/>
        <v>1464.5</v>
      </c>
      <c r="H145" s="268"/>
      <c r="I145" s="492">
        <f>'KIPP Assumptions'!$B$110</f>
        <v>1.4500000000000001E-2</v>
      </c>
      <c r="J145" s="487"/>
      <c r="K145" s="487"/>
      <c r="L145" s="491"/>
      <c r="M145" s="487"/>
      <c r="N145" s="487"/>
      <c r="O145" s="487"/>
      <c r="P145" s="487"/>
      <c r="Q145" s="237"/>
      <c r="R145" s="237"/>
      <c r="S145" s="237"/>
      <c r="T145" s="237"/>
      <c r="U145" s="102"/>
      <c r="V145" s="102"/>
      <c r="W145" s="102"/>
      <c r="X145" s="102"/>
      <c r="Y145" s="102"/>
    </row>
    <row r="146" spans="1:25" x14ac:dyDescent="0.2">
      <c r="A146" s="225">
        <v>96</v>
      </c>
      <c r="B146" s="37"/>
      <c r="C146" s="10" t="s">
        <v>219</v>
      </c>
      <c r="D146" s="10"/>
      <c r="E146" s="19" t="s">
        <v>220</v>
      </c>
      <c r="F146" s="159" t="s">
        <v>221</v>
      </c>
      <c r="G146" s="303">
        <f t="shared" si="3"/>
        <v>3245.0377689427655</v>
      </c>
      <c r="H146" s="268"/>
      <c r="I146" s="492">
        <f>+'KIPP Assumptions'!$B$113</f>
        <v>3.21290868212155E-2</v>
      </c>
      <c r="J146" s="487"/>
      <c r="K146" s="487"/>
      <c r="L146" s="491"/>
      <c r="M146" s="487"/>
      <c r="N146" s="487"/>
      <c r="O146" s="487"/>
      <c r="P146" s="487"/>
      <c r="Q146" s="237"/>
      <c r="R146" s="237"/>
      <c r="S146" s="237"/>
      <c r="T146" s="237"/>
      <c r="U146" s="102"/>
      <c r="V146" s="102"/>
      <c r="W146" s="102"/>
      <c r="X146" s="102"/>
      <c r="Y146" s="102"/>
    </row>
    <row r="147" spans="1:25" x14ac:dyDescent="0.2">
      <c r="A147" s="225">
        <v>97</v>
      </c>
      <c r="B147" s="37"/>
      <c r="C147" s="10" t="s">
        <v>102</v>
      </c>
      <c r="D147" s="10"/>
      <c r="E147" s="19" t="s">
        <v>103</v>
      </c>
      <c r="F147" s="159" t="s">
        <v>221</v>
      </c>
      <c r="G147" s="303">
        <f t="shared" si="3"/>
        <v>101</v>
      </c>
      <c r="H147" s="268"/>
      <c r="I147" s="492">
        <f>+'KIPP Assumptions'!$B$112</f>
        <v>1E-3</v>
      </c>
      <c r="J147" s="487"/>
      <c r="K147" s="487"/>
      <c r="L147" s="491"/>
      <c r="M147" s="487"/>
      <c r="N147" s="487"/>
      <c r="O147" s="487"/>
      <c r="P147" s="487"/>
      <c r="Q147" s="237"/>
      <c r="R147" s="237"/>
      <c r="S147" s="237"/>
      <c r="T147" s="237"/>
      <c r="U147" s="102"/>
      <c r="V147" s="102"/>
      <c r="W147" s="102"/>
      <c r="X147" s="102"/>
      <c r="Y147" s="102"/>
    </row>
    <row r="148" spans="1:25" x14ac:dyDescent="0.2">
      <c r="A148" s="225">
        <v>98</v>
      </c>
      <c r="B148" s="37"/>
      <c r="C148" s="10" t="s">
        <v>104</v>
      </c>
      <c r="D148" s="10"/>
      <c r="E148" s="19" t="s">
        <v>105</v>
      </c>
      <c r="F148" s="159" t="s">
        <v>221</v>
      </c>
      <c r="G148" s="303"/>
      <c r="H148" s="268"/>
      <c r="I148" s="490"/>
      <c r="J148" s="487"/>
      <c r="K148" s="487"/>
      <c r="L148" s="491"/>
      <c r="M148" s="487"/>
      <c r="N148" s="487"/>
      <c r="O148" s="487"/>
      <c r="P148" s="487"/>
      <c r="Q148" s="237"/>
      <c r="R148" s="237"/>
      <c r="S148" s="237"/>
      <c r="T148" s="237"/>
      <c r="U148" s="102"/>
      <c r="V148" s="102"/>
      <c r="W148" s="102"/>
      <c r="X148" s="102"/>
      <c r="Y148" s="102"/>
    </row>
    <row r="149" spans="1:25" x14ac:dyDescent="0.2">
      <c r="A149" s="225">
        <v>99</v>
      </c>
      <c r="B149" s="37"/>
      <c r="C149" s="86" t="s">
        <v>283</v>
      </c>
      <c r="D149" s="10"/>
      <c r="E149" s="19"/>
      <c r="F149" s="159"/>
      <c r="G149" s="303"/>
      <c r="H149" s="268"/>
      <c r="I149" s="490"/>
      <c r="J149" s="487"/>
      <c r="K149" s="487"/>
      <c r="L149" s="491"/>
      <c r="M149" s="487"/>
      <c r="N149" s="487"/>
      <c r="O149" s="487"/>
      <c r="P149" s="487"/>
      <c r="Q149" s="237"/>
      <c r="R149" s="237"/>
      <c r="S149" s="237"/>
      <c r="T149" s="237"/>
      <c r="U149" s="102"/>
      <c r="V149" s="102"/>
      <c r="W149" s="102"/>
      <c r="X149" s="102"/>
      <c r="Y149" s="102"/>
    </row>
    <row r="150" spans="1:25" x14ac:dyDescent="0.2">
      <c r="A150" s="225">
        <v>100</v>
      </c>
      <c r="B150" s="37"/>
      <c r="C150" s="86"/>
      <c r="D150" s="10"/>
      <c r="E150" s="19"/>
      <c r="F150" s="159"/>
      <c r="G150" s="303"/>
      <c r="H150" s="268"/>
      <c r="I150" s="490"/>
      <c r="J150" s="487"/>
      <c r="K150" s="487"/>
      <c r="L150" s="491"/>
      <c r="M150" s="487"/>
      <c r="N150" s="487"/>
      <c r="O150" s="487"/>
      <c r="P150" s="487"/>
      <c r="Q150" s="237"/>
      <c r="R150" s="237"/>
      <c r="S150" s="237"/>
      <c r="T150" s="237"/>
      <c r="U150" s="102"/>
      <c r="V150" s="102"/>
      <c r="W150" s="102"/>
      <c r="X150" s="102"/>
      <c r="Y150" s="102"/>
    </row>
    <row r="151" spans="1:25" x14ac:dyDescent="0.2">
      <c r="A151" s="225">
        <v>101</v>
      </c>
      <c r="B151" s="37"/>
      <c r="C151" s="86"/>
      <c r="D151" s="10"/>
      <c r="E151" s="19"/>
      <c r="F151" s="159"/>
      <c r="G151" s="303"/>
      <c r="H151" s="268"/>
      <c r="I151" s="490"/>
      <c r="J151" s="487"/>
      <c r="K151" s="487"/>
      <c r="L151" s="491"/>
      <c r="M151" s="487"/>
      <c r="N151" s="487"/>
      <c r="O151" s="487"/>
      <c r="P151" s="487"/>
      <c r="Q151" s="237"/>
      <c r="R151" s="237"/>
      <c r="S151" s="237"/>
      <c r="T151" s="237"/>
      <c r="U151" s="102"/>
      <c r="V151" s="102"/>
      <c r="W151" s="102"/>
      <c r="X151" s="102"/>
      <c r="Y151" s="102"/>
    </row>
    <row r="152" spans="1:25" ht="15.75" customHeight="1" x14ac:dyDescent="0.2">
      <c r="A152" s="225">
        <v>102</v>
      </c>
      <c r="B152" s="84"/>
      <c r="D152" s="14"/>
      <c r="E152" s="15"/>
      <c r="F152" s="167"/>
      <c r="G152" s="315"/>
      <c r="H152" s="283"/>
      <c r="I152" s="490"/>
      <c r="J152" s="487"/>
      <c r="K152" s="487"/>
      <c r="L152" s="491"/>
      <c r="M152" s="487"/>
      <c r="N152" s="487"/>
      <c r="O152" s="487"/>
      <c r="P152" s="487"/>
      <c r="Q152" s="237"/>
      <c r="R152" s="237"/>
      <c r="S152" s="237"/>
      <c r="T152" s="237"/>
      <c r="U152" s="102"/>
      <c r="V152" s="102"/>
      <c r="W152" s="102"/>
      <c r="X152" s="102"/>
      <c r="Y152" s="102"/>
    </row>
    <row r="153" spans="1:25" ht="15.75" thickBot="1" x14ac:dyDescent="0.3">
      <c r="A153" s="226">
        <v>103</v>
      </c>
      <c r="B153" s="88" t="s">
        <v>19</v>
      </c>
      <c r="C153" s="52"/>
      <c r="D153" s="52"/>
      <c r="E153" s="50"/>
      <c r="F153" s="163"/>
      <c r="G153" s="306">
        <f>SUM(G131:G152)</f>
        <v>146684.35418915306</v>
      </c>
      <c r="H153" s="271"/>
      <c r="I153" s="490"/>
      <c r="J153" s="487"/>
      <c r="K153" s="487"/>
      <c r="L153" s="491"/>
      <c r="M153" s="487"/>
      <c r="N153" s="487"/>
      <c r="O153" s="487"/>
      <c r="P153" s="487"/>
      <c r="Q153" s="237"/>
      <c r="R153" s="237"/>
      <c r="S153" s="237"/>
      <c r="T153" s="237"/>
      <c r="U153" s="102"/>
      <c r="V153" s="102"/>
      <c r="W153" s="102"/>
      <c r="X153" s="102"/>
      <c r="Y153" s="102"/>
    </row>
    <row r="154" spans="1:25" ht="15.75" thickBot="1" x14ac:dyDescent="0.3">
      <c r="A154" s="229">
        <v>104</v>
      </c>
      <c r="B154" s="76" t="s">
        <v>24</v>
      </c>
      <c r="C154" s="77"/>
      <c r="D154" s="77"/>
      <c r="E154" s="46"/>
      <c r="F154" s="166"/>
      <c r="G154" s="312">
        <f>+G100+G127+G153</f>
        <v>1036973.6243229725</v>
      </c>
      <c r="H154" s="287"/>
      <c r="I154" s="490"/>
      <c r="J154" s="487"/>
      <c r="K154" s="487"/>
      <c r="L154" s="491"/>
      <c r="M154" s="487"/>
      <c r="N154" s="487"/>
      <c r="O154" s="487"/>
      <c r="P154" s="487"/>
      <c r="Q154" s="237"/>
      <c r="R154" s="237"/>
      <c r="S154" s="237"/>
      <c r="T154" s="237"/>
      <c r="U154" s="102"/>
      <c r="V154" s="102"/>
      <c r="W154" s="102"/>
      <c r="X154" s="102"/>
      <c r="Y154" s="102"/>
    </row>
    <row r="155" spans="1:25" ht="4.5" customHeight="1" x14ac:dyDescent="0.2">
      <c r="A155" s="230"/>
      <c r="B155" s="36"/>
      <c r="C155" s="13"/>
      <c r="D155" s="13"/>
      <c r="E155" s="17"/>
      <c r="F155" s="171"/>
      <c r="G155" s="319"/>
      <c r="H155" s="288"/>
      <c r="I155" s="490"/>
      <c r="J155" s="487"/>
      <c r="K155" s="487"/>
      <c r="L155" s="491"/>
      <c r="M155" s="487"/>
      <c r="N155" s="487"/>
      <c r="O155" s="487"/>
      <c r="P155" s="487"/>
      <c r="Q155" s="237"/>
      <c r="R155" s="237"/>
      <c r="S155" s="237"/>
      <c r="T155" s="237"/>
      <c r="U155" s="102"/>
      <c r="V155" s="102"/>
      <c r="W155" s="102"/>
      <c r="X155" s="102"/>
      <c r="Y155" s="102"/>
    </row>
    <row r="156" spans="1:25" s="5" customFormat="1" ht="15" x14ac:dyDescent="0.25">
      <c r="A156" s="225"/>
      <c r="B156" s="53" t="s">
        <v>22</v>
      </c>
      <c r="C156" s="54"/>
      <c r="D156" s="54"/>
      <c r="E156" s="62"/>
      <c r="F156" s="158"/>
      <c r="G156" s="302"/>
      <c r="H156" s="267"/>
      <c r="I156" s="490"/>
      <c r="J156" s="487"/>
      <c r="K156" s="487"/>
      <c r="L156" s="491"/>
      <c r="M156" s="487"/>
      <c r="N156" s="487"/>
      <c r="O156" s="487"/>
      <c r="P156" s="487"/>
      <c r="Q156" s="237"/>
      <c r="R156" s="237"/>
      <c r="S156" s="237"/>
      <c r="T156" s="237"/>
      <c r="U156" s="240"/>
      <c r="V156" s="240"/>
      <c r="W156" s="240"/>
      <c r="X156" s="240"/>
      <c r="Y156" s="240"/>
    </row>
    <row r="157" spans="1:25" s="5" customFormat="1" ht="15" x14ac:dyDescent="0.25">
      <c r="A157" s="225"/>
      <c r="B157" s="89" t="s">
        <v>23</v>
      </c>
      <c r="C157" s="54"/>
      <c r="D157" s="54"/>
      <c r="E157" s="62"/>
      <c r="F157" s="158"/>
      <c r="G157" s="302"/>
      <c r="H157" s="267"/>
      <c r="I157" s="490"/>
      <c r="J157" s="487"/>
      <c r="K157" s="487"/>
      <c r="L157" s="491"/>
      <c r="M157" s="487"/>
      <c r="N157" s="487"/>
      <c r="O157" s="487"/>
      <c r="P157" s="487"/>
      <c r="Q157" s="237"/>
      <c r="R157" s="237"/>
      <c r="S157" s="237"/>
      <c r="T157" s="237"/>
      <c r="U157" s="240"/>
      <c r="V157" s="240"/>
      <c r="W157" s="240"/>
      <c r="X157" s="240"/>
      <c r="Y157" s="240"/>
    </row>
    <row r="158" spans="1:25" x14ac:dyDescent="0.2">
      <c r="A158" s="225">
        <v>105</v>
      </c>
      <c r="B158" s="37"/>
      <c r="C158" s="10" t="s">
        <v>281</v>
      </c>
      <c r="D158" s="10"/>
      <c r="E158" s="19" t="s">
        <v>221</v>
      </c>
      <c r="F158" s="159" t="s">
        <v>240</v>
      </c>
      <c r="G158" s="303">
        <f>+I158*J158</f>
        <v>55000</v>
      </c>
      <c r="H158" s="268" t="s">
        <v>517</v>
      </c>
      <c r="I158" s="493">
        <f>+'KIPP Assumptions'!B$82</f>
        <v>1</v>
      </c>
      <c r="J158" s="314">
        <v>55000</v>
      </c>
      <c r="K158" s="487"/>
      <c r="L158" s="491"/>
      <c r="M158" s="487"/>
      <c r="N158" s="487"/>
      <c r="O158" s="487"/>
      <c r="P158" s="487"/>
      <c r="Q158" s="237"/>
      <c r="R158" s="237"/>
      <c r="S158" s="237"/>
      <c r="T158" s="237"/>
      <c r="U158" s="102"/>
      <c r="V158" s="102"/>
      <c r="W158" s="102"/>
      <c r="X158" s="102"/>
      <c r="Y158" s="102"/>
    </row>
    <row r="159" spans="1:25" x14ac:dyDescent="0.2">
      <c r="A159" s="225">
        <v>106</v>
      </c>
      <c r="B159" s="37"/>
      <c r="C159" s="10" t="s">
        <v>8</v>
      </c>
      <c r="D159" s="10"/>
      <c r="E159" s="19" t="s">
        <v>221</v>
      </c>
      <c r="F159" s="159" t="s">
        <v>240</v>
      </c>
      <c r="G159" s="303">
        <f>+I159*J159</f>
        <v>0</v>
      </c>
      <c r="H159" s="268" t="s">
        <v>517</v>
      </c>
      <c r="I159" s="493">
        <f>+'KIPP Assumptions'!B$93</f>
        <v>0</v>
      </c>
      <c r="J159" s="314">
        <v>56000</v>
      </c>
      <c r="K159" s="487"/>
      <c r="L159" s="491"/>
      <c r="M159" s="487"/>
      <c r="N159" s="487"/>
      <c r="O159" s="487"/>
      <c r="P159" s="487"/>
      <c r="Q159" s="237"/>
      <c r="R159" s="237"/>
      <c r="S159" s="237"/>
      <c r="T159" s="237"/>
      <c r="U159" s="102"/>
      <c r="V159" s="102"/>
      <c r="W159" s="102"/>
      <c r="X159" s="102"/>
      <c r="Y159" s="102"/>
    </row>
    <row r="160" spans="1:25" x14ac:dyDescent="0.2">
      <c r="A160" s="225">
        <v>107</v>
      </c>
      <c r="B160" s="37"/>
      <c r="C160" s="10" t="s">
        <v>282</v>
      </c>
      <c r="D160" s="10"/>
      <c r="E160" s="19" t="s">
        <v>221</v>
      </c>
      <c r="F160" s="159" t="s">
        <v>240</v>
      </c>
      <c r="G160" s="321">
        <f>+I160*J160*'KIPP Assumptions'!B$101</f>
        <v>14000</v>
      </c>
      <c r="H160" s="268" t="s">
        <v>517</v>
      </c>
      <c r="I160" s="493">
        <f>+'KIPP Assumptions'!B$91</f>
        <v>1</v>
      </c>
      <c r="J160" s="314">
        <v>56000</v>
      </c>
      <c r="K160" s="487"/>
      <c r="L160" s="491"/>
      <c r="M160" s="487"/>
      <c r="N160" s="487"/>
      <c r="O160" s="487"/>
      <c r="P160" s="487"/>
      <c r="Q160" s="237"/>
      <c r="R160" s="237"/>
      <c r="S160" s="237"/>
      <c r="T160" s="237"/>
      <c r="U160" s="102"/>
      <c r="V160" s="102"/>
      <c r="W160" s="102"/>
      <c r="X160" s="102"/>
      <c r="Y160" s="102"/>
    </row>
    <row r="161" spans="1:25" x14ac:dyDescent="0.2">
      <c r="A161" s="225">
        <v>108</v>
      </c>
      <c r="B161" s="37"/>
      <c r="C161" s="10" t="s">
        <v>120</v>
      </c>
      <c r="D161" s="10"/>
      <c r="E161" s="19" t="s">
        <v>221</v>
      </c>
      <c r="F161" s="159" t="s">
        <v>240</v>
      </c>
      <c r="G161" s="303">
        <f>+I161*J161</f>
        <v>31500</v>
      </c>
      <c r="H161" s="268" t="s">
        <v>517</v>
      </c>
      <c r="I161" s="493">
        <f>+'KIPP Assumptions'!B$92</f>
        <v>0.5</v>
      </c>
      <c r="J161" s="314">
        <v>63000</v>
      </c>
      <c r="K161" s="487"/>
      <c r="L161" s="491"/>
      <c r="M161" s="487"/>
      <c r="N161" s="487"/>
      <c r="O161" s="487"/>
      <c r="P161" s="487"/>
      <c r="Q161" s="237"/>
      <c r="R161" s="237"/>
      <c r="S161" s="237"/>
      <c r="T161" s="237"/>
      <c r="U161" s="102"/>
      <c r="V161" s="102"/>
      <c r="W161" s="102"/>
      <c r="X161" s="102"/>
      <c r="Y161" s="102"/>
    </row>
    <row r="162" spans="1:25" x14ac:dyDescent="0.2">
      <c r="A162" s="225">
        <v>109</v>
      </c>
      <c r="B162" s="37"/>
      <c r="C162" s="10" t="s">
        <v>295</v>
      </c>
      <c r="D162" s="10"/>
      <c r="E162" s="19" t="s">
        <v>97</v>
      </c>
      <c r="F162" s="159" t="s">
        <v>240</v>
      </c>
      <c r="G162" s="303">
        <f t="shared" ref="G162:G166" si="4">+SUM(G$158:G$161)*$I162</f>
        <v>7112.7200757473956</v>
      </c>
      <c r="H162" s="268"/>
      <c r="I162" s="492">
        <f>'KIPP Assumptions'!$B$105+'KIPP Assumptions'!$B$106+'KIPP Assumptions'!$B$107+'KIPP Assumptions'!$B$108+'KIPP Assumptions'!$B$109</f>
        <v>7.0773334087038758E-2</v>
      </c>
      <c r="J162" s="487"/>
      <c r="K162" s="487"/>
      <c r="L162" s="491"/>
      <c r="M162" s="487"/>
      <c r="N162" s="487"/>
      <c r="O162" s="487"/>
      <c r="P162" s="487"/>
      <c r="Q162" s="237"/>
      <c r="R162" s="237"/>
      <c r="S162" s="237"/>
      <c r="T162" s="237"/>
      <c r="U162" s="102"/>
      <c r="V162" s="102"/>
      <c r="W162" s="102"/>
      <c r="X162" s="102"/>
      <c r="Y162" s="102"/>
    </row>
    <row r="163" spans="1:25" x14ac:dyDescent="0.2">
      <c r="A163" s="225">
        <v>110</v>
      </c>
      <c r="B163" s="37"/>
      <c r="C163" s="10" t="s">
        <v>98</v>
      </c>
      <c r="D163" s="10"/>
      <c r="E163" s="19" t="s">
        <v>99</v>
      </c>
      <c r="F163" s="159" t="s">
        <v>240</v>
      </c>
      <c r="G163" s="303">
        <f t="shared" si="4"/>
        <v>6231</v>
      </c>
      <c r="H163" s="268"/>
      <c r="I163" s="492">
        <f>'KIPP Assumptions'!$B$111</f>
        <v>6.2E-2</v>
      </c>
      <c r="J163" s="487"/>
      <c r="K163" s="487"/>
      <c r="L163" s="491"/>
      <c r="M163" s="487"/>
      <c r="N163" s="487"/>
      <c r="O163" s="487"/>
      <c r="P163" s="487"/>
      <c r="Q163" s="237"/>
      <c r="R163" s="237"/>
      <c r="S163" s="237"/>
      <c r="T163" s="237"/>
      <c r="U163" s="102"/>
      <c r="V163" s="102"/>
      <c r="W163" s="102"/>
      <c r="X163" s="102"/>
      <c r="Y163" s="102"/>
    </row>
    <row r="164" spans="1:25" x14ac:dyDescent="0.2">
      <c r="A164" s="225">
        <v>111</v>
      </c>
      <c r="B164" s="37"/>
      <c r="C164" s="10" t="s">
        <v>100</v>
      </c>
      <c r="D164" s="10"/>
      <c r="E164" s="19" t="s">
        <v>101</v>
      </c>
      <c r="F164" s="159" t="s">
        <v>240</v>
      </c>
      <c r="G164" s="303">
        <f t="shared" si="4"/>
        <v>1457.25</v>
      </c>
      <c r="H164" s="268"/>
      <c r="I164" s="492">
        <f>'KIPP Assumptions'!$B$110</f>
        <v>1.4500000000000001E-2</v>
      </c>
      <c r="J164" s="487"/>
      <c r="K164" s="487"/>
      <c r="L164" s="491"/>
      <c r="M164" s="487"/>
      <c r="N164" s="487"/>
      <c r="O164" s="487"/>
      <c r="P164" s="487"/>
      <c r="Q164" s="237"/>
      <c r="R164" s="237"/>
      <c r="S164" s="237"/>
      <c r="T164" s="237"/>
      <c r="U164" s="102"/>
      <c r="V164" s="102"/>
      <c r="W164" s="102"/>
      <c r="X164" s="102"/>
      <c r="Y164" s="102"/>
    </row>
    <row r="165" spans="1:25" x14ac:dyDescent="0.2">
      <c r="A165" s="225">
        <v>112</v>
      </c>
      <c r="B165" s="37"/>
      <c r="C165" s="10" t="s">
        <v>219</v>
      </c>
      <c r="D165" s="10"/>
      <c r="E165" s="19" t="s">
        <v>220</v>
      </c>
      <c r="F165" s="159" t="s">
        <v>240</v>
      </c>
      <c r="G165" s="303">
        <f t="shared" si="4"/>
        <v>3228.9732255321578</v>
      </c>
      <c r="H165" s="268"/>
      <c r="I165" s="492">
        <f>+'KIPP Assumptions'!$B$113</f>
        <v>3.21290868212155E-2</v>
      </c>
      <c r="J165" s="487"/>
      <c r="K165" s="487"/>
      <c r="L165" s="491"/>
      <c r="M165" s="487"/>
      <c r="N165" s="487"/>
      <c r="O165" s="487"/>
      <c r="P165" s="487"/>
      <c r="Q165" s="237"/>
      <c r="R165" s="237"/>
      <c r="S165" s="237"/>
      <c r="T165" s="237"/>
      <c r="U165" s="102"/>
      <c r="V165" s="102"/>
      <c r="W165" s="102"/>
      <c r="X165" s="102"/>
      <c r="Y165" s="102"/>
    </row>
    <row r="166" spans="1:25" x14ac:dyDescent="0.2">
      <c r="A166" s="225">
        <v>113</v>
      </c>
      <c r="B166" s="37"/>
      <c r="C166" s="10" t="s">
        <v>102</v>
      </c>
      <c r="D166" s="10"/>
      <c r="E166" s="19" t="s">
        <v>103</v>
      </c>
      <c r="F166" s="159" t="s">
        <v>240</v>
      </c>
      <c r="G166" s="303">
        <f t="shared" si="4"/>
        <v>100.5</v>
      </c>
      <c r="H166" s="268"/>
      <c r="I166" s="492">
        <f>+'KIPP Assumptions'!$B$112</f>
        <v>1E-3</v>
      </c>
      <c r="J166" s="487"/>
      <c r="K166" s="487"/>
      <c r="L166" s="491"/>
      <c r="M166" s="487"/>
      <c r="N166" s="487"/>
      <c r="O166" s="487"/>
      <c r="P166" s="487"/>
      <c r="Q166" s="237"/>
      <c r="R166" s="237"/>
      <c r="S166" s="237"/>
      <c r="T166" s="237"/>
      <c r="U166" s="102"/>
      <c r="V166" s="102"/>
      <c r="W166" s="102"/>
      <c r="X166" s="102"/>
      <c r="Y166" s="102"/>
    </row>
    <row r="167" spans="1:25" x14ac:dyDescent="0.2">
      <c r="A167" s="225">
        <v>114</v>
      </c>
      <c r="B167" s="37"/>
      <c r="C167" s="10" t="s">
        <v>104</v>
      </c>
      <c r="D167" s="10"/>
      <c r="E167" s="19" t="s">
        <v>105</v>
      </c>
      <c r="F167" s="159" t="s">
        <v>240</v>
      </c>
      <c r="G167" s="303"/>
      <c r="H167" s="268"/>
      <c r="I167" s="490"/>
      <c r="J167" s="487"/>
      <c r="K167" s="487"/>
      <c r="L167" s="491"/>
      <c r="M167" s="487"/>
      <c r="N167" s="487"/>
      <c r="O167" s="487"/>
      <c r="P167" s="487"/>
      <c r="Q167" s="237"/>
      <c r="R167" s="237"/>
      <c r="S167" s="237"/>
      <c r="T167" s="237"/>
      <c r="U167" s="102"/>
      <c r="V167" s="102"/>
      <c r="W167" s="102"/>
      <c r="X167" s="102"/>
      <c r="Y167" s="102"/>
    </row>
    <row r="168" spans="1:25" x14ac:dyDescent="0.2">
      <c r="A168" s="225">
        <v>115</v>
      </c>
      <c r="B168" s="37"/>
      <c r="C168" s="86" t="s">
        <v>283</v>
      </c>
      <c r="D168" s="10"/>
      <c r="E168" s="19"/>
      <c r="F168" s="159"/>
      <c r="G168" s="303"/>
      <c r="H168" s="268"/>
      <c r="I168" s="490"/>
      <c r="J168" s="487"/>
      <c r="K168" s="487"/>
      <c r="L168" s="491"/>
      <c r="M168" s="487"/>
      <c r="N168" s="487"/>
      <c r="O168" s="487"/>
      <c r="P168" s="487"/>
      <c r="Q168" s="237"/>
      <c r="R168" s="237"/>
      <c r="S168" s="237"/>
      <c r="T168" s="237"/>
      <c r="U168" s="102"/>
      <c r="V168" s="102"/>
      <c r="W168" s="102"/>
      <c r="X168" s="102"/>
      <c r="Y168" s="102"/>
    </row>
    <row r="169" spans="1:25" x14ac:dyDescent="0.2">
      <c r="A169" s="225">
        <v>116</v>
      </c>
      <c r="B169" s="37"/>
      <c r="C169" s="86"/>
      <c r="D169" s="10"/>
      <c r="E169" s="19"/>
      <c r="F169" s="159"/>
      <c r="G169" s="303"/>
      <c r="H169" s="268"/>
      <c r="I169" s="490"/>
      <c r="J169" s="487"/>
      <c r="K169" s="487"/>
      <c r="L169" s="491"/>
      <c r="M169" s="487"/>
      <c r="N169" s="487"/>
      <c r="O169" s="487"/>
      <c r="P169" s="487"/>
      <c r="Q169" s="237"/>
      <c r="R169" s="237"/>
      <c r="S169" s="237"/>
      <c r="T169" s="237"/>
      <c r="U169" s="102"/>
      <c r="V169" s="102"/>
      <c r="W169" s="102"/>
      <c r="X169" s="102"/>
      <c r="Y169" s="102"/>
    </row>
    <row r="170" spans="1:25" x14ac:dyDescent="0.2">
      <c r="A170" s="225">
        <v>117</v>
      </c>
      <c r="B170" s="84"/>
      <c r="C170" s="85"/>
      <c r="D170" s="14"/>
      <c r="E170" s="15"/>
      <c r="F170" s="167"/>
      <c r="G170" s="315"/>
      <c r="H170" s="283"/>
      <c r="I170" s="490"/>
      <c r="J170" s="487"/>
      <c r="K170" s="487"/>
      <c r="L170" s="491"/>
      <c r="M170" s="487"/>
      <c r="N170" s="487"/>
      <c r="O170" s="487"/>
      <c r="P170" s="487"/>
      <c r="Q170" s="237"/>
      <c r="R170" s="237"/>
      <c r="S170" s="237"/>
      <c r="T170" s="237"/>
      <c r="U170" s="102"/>
      <c r="V170" s="102"/>
      <c r="W170" s="102"/>
      <c r="X170" s="102"/>
      <c r="Y170" s="102"/>
    </row>
    <row r="171" spans="1:25" ht="15" x14ac:dyDescent="0.25">
      <c r="A171" s="226">
        <v>118</v>
      </c>
      <c r="B171" s="88" t="s">
        <v>121</v>
      </c>
      <c r="C171" s="52"/>
      <c r="D171" s="52"/>
      <c r="E171" s="50"/>
      <c r="F171" s="163"/>
      <c r="G171" s="306">
        <f>SUM(G158:G170)</f>
        <v>118630.44330127955</v>
      </c>
      <c r="H171" s="271"/>
      <c r="I171" s="490"/>
      <c r="J171" s="487"/>
      <c r="K171" s="487"/>
      <c r="L171" s="491"/>
      <c r="M171" s="487"/>
      <c r="N171" s="487"/>
      <c r="O171" s="487"/>
      <c r="P171" s="487"/>
      <c r="Q171" s="237"/>
      <c r="R171" s="237"/>
      <c r="S171" s="237"/>
      <c r="T171" s="237"/>
      <c r="U171" s="102"/>
      <c r="V171" s="102"/>
      <c r="W171" s="102"/>
      <c r="X171" s="102"/>
      <c r="Y171" s="102"/>
    </row>
    <row r="172" spans="1:25" ht="9" customHeight="1" x14ac:dyDescent="0.2">
      <c r="A172" s="230"/>
      <c r="B172" s="36"/>
      <c r="C172" s="13"/>
      <c r="D172" s="13"/>
      <c r="E172" s="17"/>
      <c r="F172" s="171"/>
      <c r="G172" s="319"/>
      <c r="H172" s="288"/>
      <c r="I172" s="490"/>
      <c r="J172" s="487"/>
      <c r="K172" s="487"/>
      <c r="L172" s="491"/>
      <c r="M172" s="487"/>
      <c r="N172" s="487"/>
      <c r="O172" s="487"/>
      <c r="P172" s="487"/>
      <c r="Q172" s="237"/>
      <c r="R172" s="237"/>
      <c r="S172" s="237"/>
      <c r="T172" s="237"/>
      <c r="U172" s="102"/>
      <c r="V172" s="102"/>
      <c r="W172" s="102"/>
      <c r="X172" s="102"/>
      <c r="Y172" s="102"/>
    </row>
    <row r="173" spans="1:25" s="5" customFormat="1" ht="15" x14ac:dyDescent="0.25">
      <c r="A173" s="225"/>
      <c r="B173" s="89" t="s">
        <v>25</v>
      </c>
      <c r="C173" s="54"/>
      <c r="D173" s="54"/>
      <c r="E173" s="62"/>
      <c r="F173" s="158"/>
      <c r="G173" s="302"/>
      <c r="H173" s="267"/>
      <c r="I173" s="490"/>
      <c r="J173" s="487"/>
      <c r="K173" s="487"/>
      <c r="L173" s="491"/>
      <c r="M173" s="487"/>
      <c r="N173" s="487"/>
      <c r="O173" s="487"/>
      <c r="P173" s="487"/>
      <c r="Q173" s="237"/>
      <c r="R173" s="237"/>
      <c r="S173" s="237"/>
      <c r="T173" s="237"/>
      <c r="U173" s="240"/>
      <c r="V173" s="240"/>
      <c r="W173" s="240"/>
      <c r="X173" s="240"/>
      <c r="Y173" s="240"/>
    </row>
    <row r="174" spans="1:25" x14ac:dyDescent="0.2">
      <c r="A174" s="225">
        <v>119</v>
      </c>
      <c r="B174" s="37"/>
      <c r="C174" s="10" t="s">
        <v>241</v>
      </c>
      <c r="D174" s="10"/>
      <c r="E174" s="19">
        <v>111</v>
      </c>
      <c r="F174" s="159" t="s">
        <v>265</v>
      </c>
      <c r="G174" s="303"/>
      <c r="H174" s="268"/>
      <c r="I174" s="490"/>
      <c r="J174" s="487"/>
      <c r="K174" s="487"/>
      <c r="L174" s="491"/>
      <c r="M174" s="487"/>
      <c r="N174" s="487"/>
      <c r="O174" s="487"/>
      <c r="P174" s="487"/>
      <c r="Q174" s="237"/>
      <c r="R174" s="237"/>
      <c r="S174" s="237"/>
      <c r="T174" s="237"/>
      <c r="U174" s="102"/>
      <c r="V174" s="102"/>
      <c r="W174" s="102"/>
      <c r="X174" s="102"/>
      <c r="Y174" s="102"/>
    </row>
    <row r="175" spans="1:25" x14ac:dyDescent="0.2">
      <c r="A175" s="225">
        <v>120</v>
      </c>
      <c r="B175" s="37"/>
      <c r="C175" s="10" t="s">
        <v>122</v>
      </c>
      <c r="D175" s="10"/>
      <c r="E175" s="19" t="s">
        <v>221</v>
      </c>
      <c r="F175" s="159" t="s">
        <v>265</v>
      </c>
      <c r="G175" s="303">
        <v>20000</v>
      </c>
      <c r="H175" s="268"/>
      <c r="I175" s="490"/>
      <c r="J175" s="491"/>
      <c r="K175" s="491"/>
      <c r="L175" s="491"/>
      <c r="M175" s="487"/>
      <c r="N175" s="487"/>
      <c r="O175" s="487"/>
      <c r="P175" s="487"/>
      <c r="Q175" s="237"/>
      <c r="R175" s="237"/>
      <c r="S175" s="237"/>
      <c r="T175" s="237"/>
      <c r="U175" s="102"/>
      <c r="V175" s="102"/>
      <c r="W175" s="102"/>
      <c r="X175" s="102"/>
      <c r="Y175" s="102"/>
    </row>
    <row r="176" spans="1:25" x14ac:dyDescent="0.2">
      <c r="A176" s="225">
        <v>121</v>
      </c>
      <c r="B176" s="37"/>
      <c r="C176" s="10" t="s">
        <v>266</v>
      </c>
      <c r="D176" s="10"/>
      <c r="E176" s="19" t="s">
        <v>224</v>
      </c>
      <c r="F176" s="159" t="s">
        <v>265</v>
      </c>
      <c r="G176" s="303"/>
      <c r="H176" s="268"/>
      <c r="I176" s="490"/>
      <c r="J176" s="487"/>
      <c r="K176" s="487"/>
      <c r="L176" s="491"/>
      <c r="M176" s="487"/>
      <c r="N176" s="487"/>
      <c r="O176" s="487"/>
      <c r="P176" s="487"/>
      <c r="Q176" s="237"/>
      <c r="R176" s="237"/>
      <c r="S176" s="237"/>
      <c r="T176" s="237"/>
      <c r="U176" s="102"/>
      <c r="V176" s="102"/>
      <c r="W176" s="102"/>
      <c r="X176" s="102"/>
      <c r="Y176" s="102"/>
    </row>
    <row r="177" spans="1:25" x14ac:dyDescent="0.2">
      <c r="A177" s="225">
        <v>122</v>
      </c>
      <c r="B177" s="37"/>
      <c r="C177" s="10" t="s">
        <v>123</v>
      </c>
      <c r="D177" s="10"/>
      <c r="E177" s="19" t="s">
        <v>221</v>
      </c>
      <c r="F177" s="159">
        <v>2230</v>
      </c>
      <c r="G177" s="303"/>
      <c r="H177" s="268"/>
      <c r="I177" s="490"/>
      <c r="J177" s="487"/>
      <c r="K177" s="487"/>
      <c r="L177" s="491"/>
      <c r="M177" s="487"/>
      <c r="N177" s="487"/>
      <c r="O177" s="487"/>
      <c r="P177" s="487"/>
      <c r="Q177" s="237"/>
      <c r="R177" s="237"/>
      <c r="S177" s="237"/>
      <c r="T177" s="237"/>
      <c r="U177" s="102"/>
      <c r="V177" s="102"/>
      <c r="W177" s="102"/>
      <c r="X177" s="102"/>
      <c r="Y177" s="102"/>
    </row>
    <row r="178" spans="1:25" x14ac:dyDescent="0.2">
      <c r="A178" s="225">
        <v>123</v>
      </c>
      <c r="B178" s="37"/>
      <c r="C178" s="10" t="s">
        <v>124</v>
      </c>
      <c r="D178" s="10"/>
      <c r="E178" s="19" t="s">
        <v>221</v>
      </c>
      <c r="F178" s="159" t="s">
        <v>265</v>
      </c>
      <c r="G178" s="303"/>
      <c r="H178" s="268"/>
      <c r="I178" s="490"/>
      <c r="J178" s="487"/>
      <c r="K178" s="487"/>
      <c r="L178" s="491"/>
      <c r="M178" s="487"/>
      <c r="N178" s="487"/>
      <c r="O178" s="487"/>
      <c r="P178" s="487"/>
      <c r="Q178" s="237"/>
      <c r="R178" s="237"/>
      <c r="S178" s="237"/>
      <c r="T178" s="237"/>
      <c r="U178" s="102"/>
      <c r="V178" s="102"/>
      <c r="W178" s="102"/>
      <c r="X178" s="102"/>
      <c r="Y178" s="102"/>
    </row>
    <row r="179" spans="1:25" x14ac:dyDescent="0.2">
      <c r="A179" s="225">
        <v>124</v>
      </c>
      <c r="B179" s="37"/>
      <c r="C179" s="10" t="s">
        <v>295</v>
      </c>
      <c r="D179" s="10"/>
      <c r="E179" s="19" t="s">
        <v>97</v>
      </c>
      <c r="F179" s="159" t="s">
        <v>265</v>
      </c>
      <c r="G179" s="303">
        <v>0</v>
      </c>
      <c r="H179" s="268" t="s">
        <v>411</v>
      </c>
      <c r="I179" s="490"/>
      <c r="J179" s="487"/>
      <c r="K179" s="487"/>
      <c r="L179" s="491"/>
      <c r="M179" s="487"/>
      <c r="N179" s="487"/>
      <c r="O179" s="487"/>
      <c r="P179" s="487"/>
      <c r="Q179" s="237"/>
      <c r="R179" s="237"/>
      <c r="S179" s="237"/>
      <c r="T179" s="237"/>
      <c r="U179" s="102"/>
      <c r="V179" s="102"/>
      <c r="W179" s="102"/>
      <c r="X179" s="102"/>
      <c r="Y179" s="102"/>
    </row>
    <row r="180" spans="1:25" x14ac:dyDescent="0.2">
      <c r="A180" s="225">
        <v>125</v>
      </c>
      <c r="B180" s="37"/>
      <c r="C180" s="10" t="s">
        <v>98</v>
      </c>
      <c r="D180" s="10"/>
      <c r="E180" s="19" t="s">
        <v>99</v>
      </c>
      <c r="F180" s="159" t="s">
        <v>265</v>
      </c>
      <c r="G180" s="303">
        <v>0</v>
      </c>
      <c r="H180" s="268" t="s">
        <v>411</v>
      </c>
      <c r="I180" s="490"/>
      <c r="J180" s="487"/>
      <c r="K180" s="487"/>
      <c r="L180" s="491"/>
      <c r="M180" s="487"/>
      <c r="N180" s="487"/>
      <c r="O180" s="487"/>
      <c r="P180" s="487"/>
      <c r="Q180" s="237"/>
      <c r="R180" s="237"/>
      <c r="S180" s="237"/>
      <c r="T180" s="237"/>
      <c r="U180" s="102"/>
      <c r="V180" s="102"/>
      <c r="W180" s="102"/>
      <c r="X180" s="102"/>
      <c r="Y180" s="102"/>
    </row>
    <row r="181" spans="1:25" x14ac:dyDescent="0.2">
      <c r="A181" s="225">
        <v>126</v>
      </c>
      <c r="B181" s="37"/>
      <c r="C181" s="10" t="s">
        <v>100</v>
      </c>
      <c r="D181" s="10"/>
      <c r="E181" s="19" t="s">
        <v>101</v>
      </c>
      <c r="F181" s="159" t="s">
        <v>265</v>
      </c>
      <c r="G181" s="303">
        <v>0</v>
      </c>
      <c r="H181" s="268" t="s">
        <v>411</v>
      </c>
      <c r="I181" s="490"/>
      <c r="J181" s="487"/>
      <c r="K181" s="487"/>
      <c r="L181" s="491"/>
      <c r="M181" s="487"/>
      <c r="N181" s="487"/>
      <c r="O181" s="487"/>
      <c r="P181" s="487"/>
      <c r="Q181" s="237"/>
      <c r="R181" s="237"/>
      <c r="S181" s="237"/>
      <c r="T181" s="237"/>
      <c r="U181" s="102"/>
      <c r="V181" s="102"/>
      <c r="W181" s="102"/>
      <c r="X181" s="102"/>
      <c r="Y181" s="102"/>
    </row>
    <row r="182" spans="1:25" x14ac:dyDescent="0.2">
      <c r="A182" s="225">
        <v>127</v>
      </c>
      <c r="B182" s="37"/>
      <c r="C182" s="10" t="s">
        <v>219</v>
      </c>
      <c r="D182" s="10"/>
      <c r="E182" s="19" t="s">
        <v>220</v>
      </c>
      <c r="F182" s="159" t="s">
        <v>265</v>
      </c>
      <c r="G182" s="303">
        <v>0</v>
      </c>
      <c r="H182" s="268" t="s">
        <v>411</v>
      </c>
      <c r="I182" s="490"/>
      <c r="J182" s="487"/>
      <c r="K182" s="487"/>
      <c r="L182" s="491"/>
      <c r="M182" s="487"/>
      <c r="N182" s="487"/>
      <c r="O182" s="487"/>
      <c r="P182" s="487"/>
      <c r="Q182" s="237"/>
      <c r="R182" s="237"/>
      <c r="S182" s="237"/>
      <c r="T182" s="237"/>
      <c r="U182" s="102"/>
      <c r="V182" s="102"/>
      <c r="W182" s="102"/>
      <c r="X182" s="102"/>
      <c r="Y182" s="102"/>
    </row>
    <row r="183" spans="1:25" x14ac:dyDescent="0.2">
      <c r="A183" s="225">
        <v>128</v>
      </c>
      <c r="B183" s="37"/>
      <c r="C183" s="10" t="s">
        <v>102</v>
      </c>
      <c r="D183" s="10"/>
      <c r="E183" s="19" t="s">
        <v>103</v>
      </c>
      <c r="F183" s="159" t="s">
        <v>265</v>
      </c>
      <c r="G183" s="303">
        <v>0</v>
      </c>
      <c r="H183" s="268" t="s">
        <v>411</v>
      </c>
      <c r="I183" s="490"/>
      <c r="J183" s="487"/>
      <c r="K183" s="487"/>
      <c r="L183" s="491"/>
      <c r="M183" s="487"/>
      <c r="N183" s="487"/>
      <c r="O183" s="487"/>
      <c r="P183" s="487"/>
      <c r="Q183" s="237"/>
      <c r="R183" s="237"/>
      <c r="S183" s="237"/>
      <c r="T183" s="237"/>
      <c r="U183" s="102"/>
      <c r="V183" s="102"/>
      <c r="W183" s="102"/>
      <c r="X183" s="102"/>
      <c r="Y183" s="102"/>
    </row>
    <row r="184" spans="1:25" x14ac:dyDescent="0.2">
      <c r="A184" s="225">
        <v>129</v>
      </c>
      <c r="B184" s="37"/>
      <c r="C184" s="10" t="s">
        <v>104</v>
      </c>
      <c r="D184" s="10"/>
      <c r="E184" s="19" t="s">
        <v>105</v>
      </c>
      <c r="F184" s="159" t="s">
        <v>265</v>
      </c>
      <c r="G184" s="303">
        <v>0</v>
      </c>
      <c r="H184" s="268" t="s">
        <v>411</v>
      </c>
      <c r="I184" s="490"/>
      <c r="J184" s="487"/>
      <c r="K184" s="487"/>
      <c r="L184" s="491"/>
      <c r="M184" s="487"/>
      <c r="N184" s="487"/>
      <c r="O184" s="487"/>
      <c r="P184" s="487"/>
      <c r="Q184" s="237"/>
      <c r="R184" s="237"/>
      <c r="S184" s="237"/>
      <c r="T184" s="237"/>
      <c r="U184" s="102"/>
      <c r="V184" s="102"/>
      <c r="W184" s="102"/>
      <c r="X184" s="102"/>
      <c r="Y184" s="102"/>
    </row>
    <row r="185" spans="1:25" x14ac:dyDescent="0.2">
      <c r="A185" s="225">
        <v>130</v>
      </c>
      <c r="B185" s="37"/>
      <c r="C185" s="86" t="s">
        <v>283</v>
      </c>
      <c r="D185" s="10"/>
      <c r="E185" s="19"/>
      <c r="F185" s="159"/>
      <c r="G185" s="303"/>
      <c r="H185" s="268"/>
      <c r="I185" s="490"/>
      <c r="J185" s="487"/>
      <c r="K185" s="487"/>
      <c r="L185" s="491"/>
      <c r="M185" s="487"/>
      <c r="N185" s="487"/>
      <c r="O185" s="487"/>
      <c r="P185" s="487"/>
      <c r="Q185" s="237"/>
      <c r="R185" s="237"/>
      <c r="S185" s="237"/>
      <c r="T185" s="237"/>
      <c r="U185" s="102"/>
      <c r="V185" s="102"/>
      <c r="W185" s="102"/>
      <c r="X185" s="102"/>
      <c r="Y185" s="102"/>
    </row>
    <row r="186" spans="1:25" x14ac:dyDescent="0.2">
      <c r="A186" s="225">
        <v>131</v>
      </c>
      <c r="B186" s="37"/>
      <c r="C186" s="86"/>
      <c r="D186" s="10"/>
      <c r="E186" s="19"/>
      <c r="F186" s="159"/>
      <c r="G186" s="303"/>
      <c r="H186" s="268"/>
      <c r="I186" s="490"/>
      <c r="J186" s="487"/>
      <c r="K186" s="487"/>
      <c r="L186" s="491"/>
      <c r="M186" s="487"/>
      <c r="N186" s="487"/>
      <c r="O186" s="487"/>
      <c r="P186" s="487"/>
      <c r="Q186" s="237"/>
      <c r="R186" s="237"/>
      <c r="S186" s="237"/>
      <c r="T186" s="237"/>
      <c r="U186" s="102"/>
      <c r="V186" s="102"/>
      <c r="W186" s="102"/>
      <c r="X186" s="102"/>
      <c r="Y186" s="102"/>
    </row>
    <row r="187" spans="1:25" x14ac:dyDescent="0.2">
      <c r="A187" s="225">
        <v>132</v>
      </c>
      <c r="B187" s="84"/>
      <c r="D187" s="14"/>
      <c r="E187" s="15"/>
      <c r="F187" s="167"/>
      <c r="G187" s="315"/>
      <c r="H187" s="283"/>
      <c r="I187" s="490"/>
      <c r="J187" s="487"/>
      <c r="K187" s="487"/>
      <c r="L187" s="491"/>
      <c r="M187" s="487"/>
      <c r="N187" s="487"/>
      <c r="O187" s="487"/>
      <c r="P187" s="487"/>
      <c r="Q187" s="237"/>
      <c r="R187" s="237"/>
      <c r="S187" s="237"/>
      <c r="T187" s="237"/>
      <c r="U187" s="102"/>
      <c r="V187" s="102"/>
      <c r="W187" s="102"/>
      <c r="X187" s="102"/>
      <c r="Y187" s="102"/>
    </row>
    <row r="188" spans="1:25" ht="15" x14ac:dyDescent="0.25">
      <c r="A188" s="226">
        <v>133</v>
      </c>
      <c r="B188" s="88" t="s">
        <v>125</v>
      </c>
      <c r="C188" s="52"/>
      <c r="D188" s="52"/>
      <c r="E188" s="50"/>
      <c r="F188" s="163"/>
      <c r="G188" s="306">
        <f>SUM(G174:G187)</f>
        <v>20000</v>
      </c>
      <c r="H188" s="271"/>
      <c r="I188" s="490"/>
      <c r="J188" s="487"/>
      <c r="K188" s="487"/>
      <c r="L188" s="491"/>
      <c r="M188" s="487"/>
      <c r="N188" s="487"/>
      <c r="O188" s="487"/>
      <c r="P188" s="487"/>
      <c r="Q188" s="237"/>
      <c r="R188" s="237"/>
      <c r="S188" s="237"/>
      <c r="T188" s="237"/>
      <c r="U188" s="102"/>
      <c r="V188" s="102"/>
      <c r="W188" s="102"/>
      <c r="X188" s="102"/>
      <c r="Y188" s="102"/>
    </row>
    <row r="189" spans="1:25" ht="4.5" customHeight="1" x14ac:dyDescent="0.2">
      <c r="A189" s="230"/>
      <c r="B189" s="36"/>
      <c r="C189" s="13"/>
      <c r="D189" s="13"/>
      <c r="E189" s="17"/>
      <c r="F189" s="171"/>
      <c r="G189" s="319"/>
      <c r="H189" s="288"/>
      <c r="I189" s="490"/>
      <c r="J189" s="487"/>
      <c r="K189" s="487"/>
      <c r="L189" s="491"/>
      <c r="M189" s="487"/>
      <c r="N189" s="487"/>
      <c r="O189" s="487"/>
      <c r="P189" s="487"/>
      <c r="Q189" s="237"/>
      <c r="R189" s="237"/>
      <c r="S189" s="237"/>
      <c r="T189" s="237"/>
      <c r="U189" s="102"/>
      <c r="V189" s="102"/>
      <c r="W189" s="102"/>
      <c r="X189" s="102"/>
      <c r="Y189" s="102"/>
    </row>
    <row r="190" spans="1:25" s="5" customFormat="1" ht="15" x14ac:dyDescent="0.25">
      <c r="A190" s="225"/>
      <c r="B190" s="89" t="s">
        <v>292</v>
      </c>
      <c r="C190" s="54"/>
      <c r="D190" s="54"/>
      <c r="E190" s="62"/>
      <c r="F190" s="158"/>
      <c r="G190" s="302"/>
      <c r="H190" s="267"/>
      <c r="I190" s="490"/>
      <c r="J190" s="487"/>
      <c r="K190" s="487"/>
      <c r="L190" s="491"/>
      <c r="M190" s="487"/>
      <c r="N190" s="487"/>
      <c r="O190" s="487"/>
      <c r="P190" s="487"/>
      <c r="Q190" s="237"/>
      <c r="R190" s="237"/>
      <c r="S190" s="237"/>
      <c r="T190" s="237"/>
      <c r="U190" s="240"/>
      <c r="V190" s="240"/>
      <c r="W190" s="240"/>
      <c r="X190" s="240"/>
      <c r="Y190" s="240"/>
    </row>
    <row r="191" spans="1:25" x14ac:dyDescent="0.2">
      <c r="A191" s="225"/>
      <c r="B191" s="26"/>
      <c r="C191" s="12" t="s">
        <v>1</v>
      </c>
      <c r="D191" s="12"/>
      <c r="E191" s="62"/>
      <c r="F191" s="158"/>
      <c r="G191" s="302"/>
      <c r="H191" s="267"/>
      <c r="I191" s="490"/>
      <c r="J191" s="487"/>
      <c r="K191" s="487"/>
      <c r="L191" s="491"/>
      <c r="M191" s="487"/>
      <c r="N191" s="487"/>
      <c r="O191" s="487"/>
      <c r="P191" s="487"/>
      <c r="Q191" s="237"/>
      <c r="R191" s="237"/>
      <c r="S191" s="237"/>
      <c r="T191" s="237"/>
      <c r="U191" s="102"/>
      <c r="V191" s="102"/>
      <c r="W191" s="102"/>
      <c r="X191" s="102"/>
      <c r="Y191" s="102"/>
    </row>
    <row r="192" spans="1:25" x14ac:dyDescent="0.2">
      <c r="A192" s="225">
        <v>134</v>
      </c>
      <c r="B192" s="37"/>
      <c r="C192" s="10"/>
      <c r="D192" s="10" t="s">
        <v>127</v>
      </c>
      <c r="E192" s="19">
        <v>332</v>
      </c>
      <c r="F192" s="159" t="s">
        <v>225</v>
      </c>
      <c r="G192" s="303">
        <v>35000</v>
      </c>
      <c r="H192" s="268" t="s">
        <v>425</v>
      </c>
      <c r="I192" s="490"/>
      <c r="J192" s="491"/>
      <c r="K192" s="491"/>
      <c r="L192" s="491"/>
      <c r="M192" s="487"/>
      <c r="N192" s="487"/>
      <c r="O192" s="487"/>
      <c r="P192" s="487"/>
      <c r="Q192" s="237"/>
      <c r="R192" s="237"/>
      <c r="S192" s="237"/>
      <c r="T192" s="237"/>
      <c r="U192" s="102"/>
      <c r="V192" s="102"/>
      <c r="W192" s="102"/>
      <c r="X192" s="102"/>
      <c r="Y192" s="102"/>
    </row>
    <row r="193" spans="1:25" x14ac:dyDescent="0.2">
      <c r="A193" s="225">
        <v>135</v>
      </c>
      <c r="B193" s="37"/>
      <c r="C193" s="10"/>
      <c r="D193" s="10" t="s">
        <v>83</v>
      </c>
      <c r="E193" s="19" t="s">
        <v>84</v>
      </c>
      <c r="F193" s="159" t="s">
        <v>126</v>
      </c>
      <c r="G193" s="303">
        <v>0</v>
      </c>
      <c r="H193" s="268"/>
      <c r="I193" s="490"/>
      <c r="J193" s="491"/>
      <c r="K193" s="487"/>
      <c r="L193" s="491"/>
      <c r="M193" s="487"/>
      <c r="N193" s="487"/>
      <c r="O193" s="487"/>
      <c r="P193" s="487"/>
      <c r="Q193" s="237"/>
      <c r="R193" s="237"/>
      <c r="S193" s="237"/>
      <c r="T193" s="237"/>
      <c r="U193" s="102"/>
      <c r="V193" s="102"/>
      <c r="W193" s="102"/>
      <c r="X193" s="102"/>
      <c r="Y193" s="102"/>
    </row>
    <row r="194" spans="1:25" x14ac:dyDescent="0.2">
      <c r="A194" s="225">
        <v>136</v>
      </c>
      <c r="B194" s="37"/>
      <c r="C194" s="10"/>
      <c r="D194" s="10" t="s">
        <v>128</v>
      </c>
      <c r="E194" s="19" t="s">
        <v>129</v>
      </c>
      <c r="F194" s="159" t="s">
        <v>126</v>
      </c>
      <c r="G194" s="303">
        <v>6700</v>
      </c>
      <c r="H194" s="268"/>
      <c r="I194" s="490"/>
      <c r="J194" s="491"/>
      <c r="K194" s="491"/>
      <c r="L194" s="491"/>
      <c r="M194" s="487"/>
      <c r="N194" s="487"/>
      <c r="O194" s="487"/>
      <c r="P194" s="487"/>
      <c r="Q194" s="237"/>
      <c r="R194" s="237"/>
      <c r="S194" s="237"/>
      <c r="T194" s="237"/>
      <c r="U194" s="102"/>
      <c r="V194" s="102"/>
      <c r="W194" s="102"/>
      <c r="X194" s="102"/>
      <c r="Y194" s="102"/>
    </row>
    <row r="195" spans="1:25" x14ac:dyDescent="0.2">
      <c r="A195" s="225">
        <v>137</v>
      </c>
      <c r="B195" s="37"/>
      <c r="C195" s="10"/>
      <c r="D195" s="10" t="s">
        <v>130</v>
      </c>
      <c r="E195" s="19" t="s">
        <v>223</v>
      </c>
      <c r="F195" s="159" t="s">
        <v>225</v>
      </c>
      <c r="G195" s="321">
        <v>41880</v>
      </c>
      <c r="H195" s="268" t="s">
        <v>427</v>
      </c>
      <c r="I195" s="490"/>
      <c r="J195" s="491"/>
      <c r="K195" s="491"/>
      <c r="L195" s="491"/>
      <c r="M195" s="487"/>
      <c r="N195" s="487"/>
      <c r="O195" s="487"/>
      <c r="P195" s="487"/>
      <c r="Q195" s="237"/>
      <c r="R195" s="237"/>
      <c r="S195" s="237"/>
      <c r="T195" s="237"/>
      <c r="U195" s="102"/>
      <c r="V195" s="102"/>
      <c r="W195" s="102"/>
      <c r="X195" s="102"/>
      <c r="Y195" s="102"/>
    </row>
    <row r="196" spans="1:25" x14ac:dyDescent="0.2">
      <c r="A196" s="225">
        <v>138</v>
      </c>
      <c r="B196" s="37"/>
      <c r="C196" s="10"/>
      <c r="D196" s="10" t="s">
        <v>131</v>
      </c>
      <c r="E196" s="19" t="s">
        <v>132</v>
      </c>
      <c r="F196" s="159" t="s">
        <v>126</v>
      </c>
      <c r="G196" s="303">
        <v>2500</v>
      </c>
      <c r="H196" s="268" t="s">
        <v>433</v>
      </c>
      <c r="I196" s="490"/>
      <c r="J196" s="491"/>
      <c r="K196" s="491"/>
      <c r="L196" s="491"/>
      <c r="M196" s="487"/>
      <c r="N196" s="487"/>
      <c r="O196" s="487"/>
      <c r="P196" s="487"/>
      <c r="Q196" s="237"/>
      <c r="R196" s="237"/>
      <c r="S196" s="237"/>
      <c r="T196" s="237"/>
      <c r="U196" s="102"/>
      <c r="V196" s="102"/>
      <c r="W196" s="102"/>
      <c r="X196" s="102"/>
      <c r="Y196" s="102"/>
    </row>
    <row r="197" spans="1:25" x14ac:dyDescent="0.2">
      <c r="A197" s="225">
        <v>139</v>
      </c>
      <c r="B197" s="37"/>
      <c r="C197" s="10"/>
      <c r="D197" s="10" t="s">
        <v>5</v>
      </c>
      <c r="E197" s="19">
        <v>730</v>
      </c>
      <c r="F197" s="159" t="s">
        <v>225</v>
      </c>
      <c r="G197" s="303"/>
      <c r="H197" s="268"/>
      <c r="I197" s="490"/>
      <c r="J197" s="487"/>
      <c r="K197" s="487"/>
      <c r="L197" s="491"/>
      <c r="M197" s="487"/>
      <c r="N197" s="487"/>
      <c r="O197" s="487"/>
      <c r="P197" s="487"/>
      <c r="Q197" s="237"/>
      <c r="R197" s="237"/>
      <c r="S197" s="237"/>
      <c r="T197" s="237"/>
      <c r="U197" s="102"/>
      <c r="V197" s="102"/>
      <c r="W197" s="102"/>
      <c r="X197" s="102"/>
      <c r="Y197" s="102"/>
    </row>
    <row r="198" spans="1:25" x14ac:dyDescent="0.2">
      <c r="A198" s="225">
        <v>140</v>
      </c>
      <c r="B198" s="37"/>
      <c r="C198" s="10"/>
      <c r="D198" s="10" t="s">
        <v>133</v>
      </c>
      <c r="E198" s="19" t="s">
        <v>116</v>
      </c>
      <c r="F198" s="159" t="s">
        <v>126</v>
      </c>
      <c r="G198" s="303">
        <f>+'KIPP Assumptions'!$B51*('KIPP Assumptions'!B$6*SUM('KIPP Assumptions'!B$17:B$20)+SUMPRODUCT('KIPP Assumptions'!B$7:B$14,'KIPP Assumptions'!B$21:B$28))+'KIPP Assumptions'!$B52</f>
        <v>66483.929999999993</v>
      </c>
      <c r="H198" s="268" t="str">
        <f>"LDE/OPSB fees ("&amp;TEXT('KIPP Assumptions'!$B$51,"#.0%")&amp;" of MFP) and KIPP Foundation Fee ("&amp;TEXT('KIPP Assumptions'!$B$52,"$#,##0")&amp;")"</f>
        <v>LDE/OPSB fees (2.0% of MFP) and KIPP Foundation Fee ($30,000)</v>
      </c>
      <c r="I198" s="490"/>
      <c r="J198" s="487"/>
      <c r="K198" s="487"/>
      <c r="L198" s="491"/>
      <c r="M198" s="487"/>
      <c r="N198" s="487"/>
      <c r="O198" s="487"/>
      <c r="P198" s="487"/>
      <c r="Q198" s="237"/>
      <c r="R198" s="237"/>
      <c r="S198" s="237"/>
      <c r="T198" s="237"/>
      <c r="U198" s="102"/>
      <c r="V198" s="102"/>
      <c r="W198" s="102"/>
      <c r="X198" s="102"/>
      <c r="Y198" s="102"/>
    </row>
    <row r="199" spans="1:25" x14ac:dyDescent="0.2">
      <c r="A199" s="225">
        <v>141</v>
      </c>
      <c r="B199" s="37"/>
      <c r="C199" s="10"/>
      <c r="D199" s="10" t="s">
        <v>134</v>
      </c>
      <c r="E199" s="19" t="s">
        <v>135</v>
      </c>
      <c r="F199" s="159" t="s">
        <v>126</v>
      </c>
      <c r="G199" s="303"/>
      <c r="H199" s="268"/>
      <c r="I199" s="490"/>
      <c r="J199" s="487"/>
      <c r="K199" s="487"/>
      <c r="L199" s="491"/>
      <c r="M199" s="487"/>
      <c r="N199" s="487"/>
      <c r="O199" s="487"/>
      <c r="P199" s="487"/>
      <c r="Q199" s="237"/>
      <c r="R199" s="237"/>
      <c r="S199" s="237"/>
      <c r="T199" s="237"/>
      <c r="U199" s="102"/>
      <c r="V199" s="102"/>
      <c r="W199" s="102"/>
      <c r="X199" s="102"/>
      <c r="Y199" s="102"/>
    </row>
    <row r="200" spans="1:25" x14ac:dyDescent="0.2">
      <c r="A200" s="225">
        <v>142</v>
      </c>
      <c r="B200" s="37"/>
      <c r="C200" s="86" t="s">
        <v>283</v>
      </c>
      <c r="D200" s="10"/>
      <c r="E200" s="19"/>
      <c r="F200" s="159"/>
      <c r="G200" s="303"/>
      <c r="H200" s="268"/>
      <c r="I200" s="490"/>
      <c r="J200" s="487"/>
      <c r="K200" s="487"/>
      <c r="L200" s="491"/>
      <c r="M200" s="487"/>
      <c r="N200" s="487"/>
      <c r="O200" s="487"/>
      <c r="P200" s="487"/>
      <c r="Q200" s="237"/>
      <c r="R200" s="237"/>
      <c r="S200" s="237"/>
      <c r="T200" s="237"/>
      <c r="U200" s="102"/>
      <c r="V200" s="102"/>
      <c r="W200" s="102"/>
      <c r="X200" s="102"/>
      <c r="Y200" s="102"/>
    </row>
    <row r="201" spans="1:25" x14ac:dyDescent="0.2">
      <c r="A201" s="225">
        <v>143</v>
      </c>
      <c r="B201" s="108"/>
      <c r="C201" s="109"/>
      <c r="D201" s="110" t="s">
        <v>448</v>
      </c>
      <c r="E201" s="19">
        <v>310</v>
      </c>
      <c r="F201" s="159" t="s">
        <v>447</v>
      </c>
      <c r="G201" s="303">
        <f>+G70*'KIPP Assumptions'!$B49</f>
        <v>343415.58</v>
      </c>
      <c r="H201" s="268" t="str">
        <f>"KNOS regional management fee ("&amp;TEXT('KIPP Assumptions'!$B$49,"#.0%")&amp;" of revenue)"</f>
        <v>KNOS regional management fee (12.0% of revenue)</v>
      </c>
      <c r="I201" s="490"/>
      <c r="J201" s="487"/>
      <c r="K201" s="487"/>
      <c r="L201" s="491"/>
      <c r="M201" s="487"/>
      <c r="N201" s="487"/>
      <c r="O201" s="487"/>
      <c r="P201" s="487"/>
      <c r="Q201" s="237"/>
      <c r="R201" s="237"/>
      <c r="S201" s="237"/>
      <c r="T201" s="237"/>
      <c r="U201" s="102"/>
      <c r="V201" s="102"/>
      <c r="W201" s="102"/>
      <c r="X201" s="102"/>
      <c r="Y201" s="102"/>
    </row>
    <row r="202" spans="1:25" x14ac:dyDescent="0.2">
      <c r="A202" s="225">
        <v>144</v>
      </c>
      <c r="B202" s="37"/>
      <c r="C202" s="10"/>
      <c r="D202" s="10"/>
      <c r="E202" s="19"/>
      <c r="F202" s="159"/>
      <c r="G202" s="303"/>
      <c r="H202" s="268"/>
      <c r="I202" s="490"/>
      <c r="J202" s="487"/>
      <c r="K202" s="487"/>
      <c r="L202" s="491"/>
      <c r="M202" s="487"/>
      <c r="N202" s="487"/>
      <c r="O202" s="487"/>
      <c r="P202" s="487"/>
      <c r="Q202" s="237"/>
      <c r="R202" s="237"/>
      <c r="S202" s="237"/>
      <c r="T202" s="237"/>
      <c r="U202" s="102"/>
      <c r="V202" s="102"/>
      <c r="W202" s="102"/>
      <c r="X202" s="102"/>
      <c r="Y202" s="102"/>
    </row>
    <row r="203" spans="1:25" ht="15" x14ac:dyDescent="0.25">
      <c r="A203" s="226">
        <v>145</v>
      </c>
      <c r="B203" s="88" t="s">
        <v>136</v>
      </c>
      <c r="C203" s="52"/>
      <c r="D203" s="52"/>
      <c r="E203" s="50"/>
      <c r="F203" s="163"/>
      <c r="G203" s="306">
        <f>SUM(G192:G202)</f>
        <v>495979.51</v>
      </c>
      <c r="H203" s="271"/>
      <c r="I203" s="490"/>
      <c r="J203" s="487"/>
      <c r="K203" s="487"/>
      <c r="L203" s="491"/>
      <c r="M203" s="487"/>
      <c r="N203" s="487"/>
      <c r="O203" s="487"/>
      <c r="P203" s="487"/>
      <c r="Q203" s="237"/>
      <c r="R203" s="237"/>
      <c r="S203" s="237"/>
      <c r="T203" s="237"/>
      <c r="U203" s="102"/>
      <c r="V203" s="102"/>
      <c r="W203" s="102"/>
      <c r="X203" s="102"/>
      <c r="Y203" s="102"/>
    </row>
    <row r="204" spans="1:25" x14ac:dyDescent="0.2">
      <c r="A204" s="225"/>
      <c r="B204" s="37"/>
      <c r="C204" s="10"/>
      <c r="D204" s="10"/>
      <c r="E204" s="19"/>
      <c r="F204" s="159"/>
      <c r="G204" s="303"/>
      <c r="H204" s="268"/>
      <c r="I204" s="490"/>
      <c r="J204" s="487"/>
      <c r="K204" s="487"/>
      <c r="L204" s="491"/>
      <c r="M204" s="487"/>
      <c r="N204" s="487"/>
      <c r="O204" s="487"/>
      <c r="P204" s="487"/>
      <c r="Q204" s="237"/>
      <c r="R204" s="237"/>
      <c r="S204" s="237"/>
      <c r="T204" s="237"/>
      <c r="U204" s="102"/>
      <c r="V204" s="102"/>
      <c r="W204" s="102"/>
      <c r="X204" s="102"/>
      <c r="Y204" s="102"/>
    </row>
    <row r="205" spans="1:25" s="5" customFormat="1" ht="15" x14ac:dyDescent="0.25">
      <c r="A205" s="225"/>
      <c r="B205" s="89" t="s">
        <v>26</v>
      </c>
      <c r="C205" s="54"/>
      <c r="D205" s="54"/>
      <c r="E205" s="62"/>
      <c r="F205" s="158"/>
      <c r="G205" s="302"/>
      <c r="H205" s="267"/>
      <c r="I205" s="490"/>
      <c r="J205" s="487"/>
      <c r="K205" s="487"/>
      <c r="L205" s="491"/>
      <c r="M205" s="487"/>
      <c r="N205" s="487"/>
      <c r="O205" s="487"/>
      <c r="P205" s="487"/>
      <c r="Q205" s="237"/>
      <c r="R205" s="237"/>
      <c r="S205" s="237"/>
      <c r="T205" s="237"/>
      <c r="U205" s="240"/>
      <c r="V205" s="240"/>
      <c r="W205" s="240"/>
      <c r="X205" s="240"/>
      <c r="Y205" s="240"/>
    </row>
    <row r="206" spans="1:25" x14ac:dyDescent="0.2">
      <c r="A206" s="225"/>
      <c r="B206" s="37"/>
      <c r="C206" s="10" t="s">
        <v>76</v>
      </c>
      <c r="D206" s="10"/>
      <c r="E206" s="62"/>
      <c r="F206" s="158"/>
      <c r="G206" s="302"/>
      <c r="H206" s="267"/>
      <c r="I206" s="490"/>
      <c r="J206" s="487"/>
      <c r="K206" s="487"/>
      <c r="L206" s="491"/>
      <c r="M206" s="487"/>
      <c r="N206" s="487"/>
      <c r="O206" s="487"/>
      <c r="P206" s="487"/>
      <c r="Q206" s="237"/>
      <c r="R206" s="237"/>
      <c r="S206" s="237"/>
      <c r="T206" s="237"/>
      <c r="U206" s="102"/>
      <c r="V206" s="102"/>
      <c r="W206" s="102"/>
      <c r="X206" s="102"/>
      <c r="Y206" s="102"/>
    </row>
    <row r="207" spans="1:25" x14ac:dyDescent="0.2">
      <c r="A207" s="225">
        <v>146</v>
      </c>
      <c r="B207" s="37"/>
      <c r="C207" s="10"/>
      <c r="D207" s="10" t="s">
        <v>137</v>
      </c>
      <c r="E207" s="19" t="s">
        <v>118</v>
      </c>
      <c r="F207" s="159" t="s">
        <v>138</v>
      </c>
      <c r="G207" s="303">
        <f>+I207*J207</f>
        <v>180000</v>
      </c>
      <c r="H207" s="268" t="s">
        <v>517</v>
      </c>
      <c r="I207" s="490">
        <f>+SUM('KIPP Assumptions'!B$76,'KIPP Assumptions'!B$81)</f>
        <v>2</v>
      </c>
      <c r="J207" s="314">
        <v>90000</v>
      </c>
      <c r="K207" s="487"/>
      <c r="L207" s="491"/>
      <c r="M207" s="487"/>
      <c r="N207" s="487"/>
      <c r="O207" s="487"/>
      <c r="P207" s="487"/>
      <c r="Q207" s="237"/>
      <c r="R207" s="237"/>
      <c r="S207" s="237"/>
      <c r="T207" s="237"/>
      <c r="U207" s="102"/>
      <c r="V207" s="102"/>
      <c r="W207" s="102"/>
      <c r="X207" s="102"/>
      <c r="Y207" s="102"/>
    </row>
    <row r="208" spans="1:25" x14ac:dyDescent="0.2">
      <c r="A208" s="225">
        <v>147</v>
      </c>
      <c r="B208" s="37"/>
      <c r="C208" s="10"/>
      <c r="D208" s="10" t="s">
        <v>139</v>
      </c>
      <c r="E208" s="19" t="s">
        <v>118</v>
      </c>
      <c r="F208" s="159" t="s">
        <v>140</v>
      </c>
      <c r="G208" s="303">
        <f t="shared" ref="G208:G209" si="5">+I208*J208</f>
        <v>177000</v>
      </c>
      <c r="H208" s="268" t="s">
        <v>517</v>
      </c>
      <c r="I208" s="490">
        <f>SUM('KIPP Assumptions'!B77:B80)</f>
        <v>3</v>
      </c>
      <c r="J208" s="314">
        <v>59000</v>
      </c>
      <c r="K208" s="487"/>
      <c r="L208" s="491"/>
      <c r="M208" s="487"/>
      <c r="N208" s="487"/>
      <c r="O208" s="487"/>
      <c r="P208" s="487"/>
      <c r="Q208" s="237"/>
      <c r="R208" s="237"/>
      <c r="S208" s="237"/>
      <c r="T208" s="237"/>
      <c r="U208" s="102"/>
      <c r="V208" s="102"/>
      <c r="W208" s="102"/>
      <c r="X208" s="102"/>
      <c r="Y208" s="102"/>
    </row>
    <row r="209" spans="1:25" x14ac:dyDescent="0.2">
      <c r="A209" s="225">
        <v>148</v>
      </c>
      <c r="B209" s="37"/>
      <c r="C209" s="10"/>
      <c r="D209" s="10" t="s">
        <v>141</v>
      </c>
      <c r="E209" s="19" t="s">
        <v>119</v>
      </c>
      <c r="F209" s="159" t="s">
        <v>142</v>
      </c>
      <c r="G209" s="303">
        <f t="shared" si="5"/>
        <v>49000</v>
      </c>
      <c r="H209" s="268" t="s">
        <v>517</v>
      </c>
      <c r="I209" s="490">
        <f>+'KIPP Assumptions'!B$94</f>
        <v>1</v>
      </c>
      <c r="J209" s="314">
        <v>49000</v>
      </c>
      <c r="K209" s="487"/>
      <c r="L209" s="491"/>
      <c r="M209" s="487"/>
      <c r="N209" s="487"/>
      <c r="O209" s="487"/>
      <c r="P209" s="487"/>
      <c r="Q209" s="237"/>
      <c r="R209" s="237"/>
      <c r="S209" s="237"/>
      <c r="T209" s="237"/>
      <c r="U209" s="102"/>
      <c r="V209" s="102"/>
      <c r="W209" s="102"/>
      <c r="X209" s="102"/>
      <c r="Y209" s="102"/>
    </row>
    <row r="210" spans="1:25" x14ac:dyDescent="0.2">
      <c r="A210" s="225">
        <v>149</v>
      </c>
      <c r="B210" s="37"/>
      <c r="C210" s="10" t="s">
        <v>83</v>
      </c>
      <c r="D210" s="10"/>
      <c r="E210" s="19" t="s">
        <v>84</v>
      </c>
      <c r="F210" s="159" t="s">
        <v>142</v>
      </c>
      <c r="G210" s="303">
        <v>3400</v>
      </c>
      <c r="H210" s="268" t="s">
        <v>467</v>
      </c>
      <c r="I210" s="487"/>
      <c r="J210" s="491"/>
      <c r="K210" s="491"/>
      <c r="L210" s="491"/>
      <c r="M210" s="487"/>
      <c r="N210" s="487"/>
      <c r="O210" s="487"/>
      <c r="P210" s="487"/>
      <c r="Q210" s="237"/>
      <c r="R210" s="237"/>
      <c r="S210" s="237"/>
      <c r="T210" s="237"/>
      <c r="U210" s="102"/>
      <c r="V210" s="102"/>
      <c r="W210" s="102"/>
      <c r="X210" s="102"/>
      <c r="Y210" s="102"/>
    </row>
    <row r="211" spans="1:25" x14ac:dyDescent="0.2">
      <c r="A211" s="225">
        <v>150</v>
      </c>
      <c r="B211" s="37"/>
      <c r="C211" s="10" t="s">
        <v>85</v>
      </c>
      <c r="D211" s="10"/>
      <c r="E211" s="19" t="s">
        <v>86</v>
      </c>
      <c r="F211" s="159" t="s">
        <v>142</v>
      </c>
      <c r="G211" s="303"/>
      <c r="H211" s="268"/>
      <c r="I211" s="487"/>
      <c r="J211" s="487"/>
      <c r="K211" s="487"/>
      <c r="L211" s="491"/>
      <c r="M211" s="487"/>
      <c r="N211" s="487"/>
      <c r="O211" s="487"/>
      <c r="P211" s="487"/>
      <c r="Q211" s="237"/>
      <c r="R211" s="237"/>
      <c r="S211" s="237"/>
      <c r="T211" s="237"/>
      <c r="U211" s="102"/>
      <c r="V211" s="102"/>
      <c r="W211" s="102"/>
      <c r="X211" s="102"/>
      <c r="Y211" s="102"/>
    </row>
    <row r="212" spans="1:25" x14ac:dyDescent="0.2">
      <c r="A212" s="225">
        <v>151</v>
      </c>
      <c r="B212" s="37"/>
      <c r="C212" s="10" t="s">
        <v>111</v>
      </c>
      <c r="D212" s="10"/>
      <c r="E212" s="19" t="s">
        <v>112</v>
      </c>
      <c r="F212" s="159" t="s">
        <v>142</v>
      </c>
      <c r="G212" s="303"/>
      <c r="H212" s="268"/>
      <c r="I212" s="487"/>
      <c r="J212" s="487"/>
      <c r="K212" s="487"/>
      <c r="L212" s="491"/>
      <c r="M212" s="487"/>
      <c r="N212" s="487"/>
      <c r="O212" s="487"/>
      <c r="P212" s="487"/>
      <c r="Q212" s="237"/>
      <c r="R212" s="237"/>
      <c r="S212" s="237"/>
      <c r="T212" s="237"/>
      <c r="U212" s="102"/>
      <c r="V212" s="102"/>
      <c r="W212" s="102"/>
      <c r="X212" s="102"/>
      <c r="Y212" s="102"/>
    </row>
    <row r="213" spans="1:25" x14ac:dyDescent="0.2">
      <c r="A213" s="225">
        <v>152</v>
      </c>
      <c r="B213" s="37"/>
      <c r="C213" s="10" t="s">
        <v>143</v>
      </c>
      <c r="D213" s="10"/>
      <c r="E213" s="19" t="s">
        <v>144</v>
      </c>
      <c r="F213" s="159" t="s">
        <v>142</v>
      </c>
      <c r="G213" s="303"/>
      <c r="H213" s="268"/>
      <c r="I213" s="487"/>
      <c r="J213" s="487"/>
      <c r="K213" s="487"/>
      <c r="L213" s="491"/>
      <c r="M213" s="487"/>
      <c r="N213" s="487"/>
      <c r="O213" s="487"/>
      <c r="P213" s="487"/>
      <c r="Q213" s="237"/>
      <c r="R213" s="237"/>
      <c r="S213" s="237"/>
      <c r="T213" s="237"/>
      <c r="U213" s="102"/>
      <c r="V213" s="102"/>
      <c r="W213" s="102"/>
      <c r="X213" s="102"/>
      <c r="Y213" s="102"/>
    </row>
    <row r="214" spans="1:25" x14ac:dyDescent="0.2">
      <c r="A214" s="225">
        <v>153</v>
      </c>
      <c r="B214" s="37"/>
      <c r="C214" s="10" t="s">
        <v>87</v>
      </c>
      <c r="D214" s="10"/>
      <c r="E214" s="19" t="s">
        <v>88</v>
      </c>
      <c r="F214" s="159" t="s">
        <v>142</v>
      </c>
      <c r="G214" s="303">
        <v>5000</v>
      </c>
      <c r="H214" s="268" t="s">
        <v>515</v>
      </c>
      <c r="I214" s="487"/>
      <c r="J214" s="491"/>
      <c r="K214" s="491"/>
      <c r="L214" s="491"/>
      <c r="M214" s="487"/>
      <c r="N214" s="487"/>
      <c r="O214" s="487"/>
      <c r="P214" s="487"/>
      <c r="Q214" s="237"/>
      <c r="R214" s="237"/>
      <c r="S214" s="237"/>
      <c r="T214" s="237"/>
      <c r="U214" s="102"/>
      <c r="V214" s="102"/>
      <c r="W214" s="102"/>
      <c r="X214" s="102"/>
      <c r="Y214" s="102"/>
    </row>
    <row r="215" spans="1:25" x14ac:dyDescent="0.2">
      <c r="A215" s="225">
        <v>154</v>
      </c>
      <c r="B215" s="37"/>
      <c r="C215" s="10" t="s">
        <v>110</v>
      </c>
      <c r="D215" s="10"/>
      <c r="E215" s="19" t="s">
        <v>90</v>
      </c>
      <c r="F215" s="159" t="s">
        <v>142</v>
      </c>
      <c r="G215" s="303">
        <v>21850</v>
      </c>
      <c r="H215" s="268" t="s">
        <v>435</v>
      </c>
      <c r="I215" s="487"/>
      <c r="J215" s="491"/>
      <c r="K215" s="487"/>
      <c r="L215" s="491"/>
      <c r="M215" s="487"/>
      <c r="N215" s="487"/>
      <c r="O215" s="487"/>
      <c r="P215" s="487"/>
      <c r="Q215" s="237"/>
      <c r="R215" s="237"/>
      <c r="S215" s="237"/>
      <c r="T215" s="237"/>
      <c r="U215" s="102"/>
      <c r="V215" s="102"/>
      <c r="W215" s="102"/>
      <c r="X215" s="102"/>
      <c r="Y215" s="102"/>
    </row>
    <row r="216" spans="1:25" x14ac:dyDescent="0.2">
      <c r="A216" s="225">
        <v>155</v>
      </c>
      <c r="B216" s="37"/>
      <c r="C216" s="10" t="s">
        <v>242</v>
      </c>
      <c r="D216" s="10"/>
      <c r="E216" s="19" t="s">
        <v>243</v>
      </c>
      <c r="F216" s="159" t="s">
        <v>142</v>
      </c>
      <c r="G216" s="303"/>
      <c r="H216" s="268"/>
      <c r="I216" s="487"/>
      <c r="J216" s="487"/>
      <c r="K216" s="487"/>
      <c r="L216" s="491"/>
      <c r="M216" s="487"/>
      <c r="N216" s="487"/>
      <c r="O216" s="487"/>
      <c r="P216" s="487"/>
      <c r="Q216" s="237"/>
      <c r="R216" s="237"/>
      <c r="S216" s="237"/>
      <c r="T216" s="237"/>
      <c r="U216" s="102"/>
      <c r="V216" s="102"/>
      <c r="W216" s="102"/>
      <c r="X216" s="102"/>
      <c r="Y216" s="102"/>
    </row>
    <row r="217" spans="1:25" x14ac:dyDescent="0.2">
      <c r="A217" s="225">
        <v>156</v>
      </c>
      <c r="B217" s="37"/>
      <c r="C217" s="10" t="s">
        <v>296</v>
      </c>
      <c r="D217" s="10"/>
      <c r="E217" s="19" t="s">
        <v>116</v>
      </c>
      <c r="F217" s="159" t="s">
        <v>142</v>
      </c>
      <c r="G217" s="303">
        <v>2100</v>
      </c>
      <c r="H217" s="268" t="s">
        <v>428</v>
      </c>
      <c r="I217" s="487"/>
      <c r="J217" s="491"/>
      <c r="K217" s="487"/>
      <c r="L217" s="491"/>
      <c r="M217" s="487"/>
      <c r="N217" s="487"/>
      <c r="O217" s="487"/>
      <c r="P217" s="487"/>
      <c r="Q217" s="237"/>
      <c r="R217" s="237"/>
      <c r="S217" s="237"/>
      <c r="T217" s="237"/>
      <c r="U217" s="102"/>
      <c r="V217" s="102"/>
      <c r="W217" s="102"/>
      <c r="X217" s="102"/>
      <c r="Y217" s="102"/>
    </row>
    <row r="218" spans="1:25" x14ac:dyDescent="0.2">
      <c r="A218" s="225">
        <v>157</v>
      </c>
      <c r="B218" s="37"/>
      <c r="C218" s="10" t="s">
        <v>95</v>
      </c>
      <c r="D218" s="10"/>
      <c r="E218" s="19" t="s">
        <v>96</v>
      </c>
      <c r="F218" s="159" t="s">
        <v>142</v>
      </c>
      <c r="G218" s="303">
        <f>+G70*0.01</f>
        <v>28617.965</v>
      </c>
      <c r="H218" s="268" t="s">
        <v>437</v>
      </c>
      <c r="I218" s="487"/>
      <c r="J218" s="487"/>
      <c r="K218" s="487"/>
      <c r="L218" s="491"/>
      <c r="M218" s="487"/>
      <c r="N218" s="500"/>
      <c r="O218" s="487"/>
      <c r="P218" s="487"/>
      <c r="Q218" s="237"/>
      <c r="R218" s="237"/>
      <c r="S218" s="237"/>
      <c r="T218" s="237"/>
      <c r="U218" s="102"/>
      <c r="V218" s="102"/>
      <c r="W218" s="102"/>
      <c r="X218" s="102"/>
      <c r="Y218" s="102"/>
    </row>
    <row r="219" spans="1:25" x14ac:dyDescent="0.2">
      <c r="A219" s="225">
        <v>158</v>
      </c>
      <c r="B219" s="37"/>
      <c r="C219" s="10" t="s">
        <v>295</v>
      </c>
      <c r="D219" s="10"/>
      <c r="E219" s="19" t="s">
        <v>97</v>
      </c>
      <c r="F219" s="159" t="s">
        <v>11</v>
      </c>
      <c r="G219" s="303">
        <f>+SUM(G$207:G$209)*$I219</f>
        <v>28733.973639337735</v>
      </c>
      <c r="H219" s="268"/>
      <c r="I219" s="492">
        <f>'KIPP Assumptions'!$B$105+'KIPP Assumptions'!$B$106+'KIPP Assumptions'!$B$107+'KIPP Assumptions'!$B$108+'KIPP Assumptions'!$B$109</f>
        <v>7.0773334087038758E-2</v>
      </c>
      <c r="J219" s="487"/>
      <c r="K219" s="487"/>
      <c r="L219" s="491"/>
      <c r="M219" s="487"/>
      <c r="N219" s="487"/>
      <c r="O219" s="487"/>
      <c r="P219" s="487"/>
      <c r="Q219" s="237"/>
      <c r="R219" s="237"/>
      <c r="S219" s="237"/>
      <c r="T219" s="237"/>
      <c r="U219" s="102"/>
      <c r="V219" s="102"/>
      <c r="W219" s="102"/>
      <c r="X219" s="102"/>
      <c r="Y219" s="102"/>
    </row>
    <row r="220" spans="1:25" x14ac:dyDescent="0.2">
      <c r="A220" s="225">
        <v>159</v>
      </c>
      <c r="B220" s="37"/>
      <c r="C220" s="10" t="s">
        <v>98</v>
      </c>
      <c r="D220" s="10"/>
      <c r="E220" s="19" t="s">
        <v>99</v>
      </c>
      <c r="F220" s="159" t="s">
        <v>11</v>
      </c>
      <c r="G220" s="303">
        <f t="shared" ref="G220:G223" si="6">+SUM(G$207:G$209)*$I220</f>
        <v>25172</v>
      </c>
      <c r="H220" s="268"/>
      <c r="I220" s="492">
        <f>'KIPP Assumptions'!$B$111</f>
        <v>6.2E-2</v>
      </c>
      <c r="J220" s="487"/>
      <c r="K220" s="487"/>
      <c r="L220" s="491"/>
      <c r="M220" s="487"/>
      <c r="N220" s="487"/>
      <c r="O220" s="487"/>
      <c r="P220" s="487"/>
      <c r="Q220" s="237"/>
      <c r="R220" s="237"/>
      <c r="S220" s="237"/>
      <c r="T220" s="237"/>
      <c r="U220" s="102"/>
      <c r="V220" s="102"/>
      <c r="W220" s="102"/>
      <c r="X220" s="102"/>
      <c r="Y220" s="102"/>
    </row>
    <row r="221" spans="1:25" x14ac:dyDescent="0.2">
      <c r="A221" s="225">
        <v>160</v>
      </c>
      <c r="B221" s="37"/>
      <c r="C221" s="10" t="s">
        <v>100</v>
      </c>
      <c r="D221" s="10"/>
      <c r="E221" s="19" t="s">
        <v>101</v>
      </c>
      <c r="F221" s="159" t="s">
        <v>11</v>
      </c>
      <c r="G221" s="303">
        <f t="shared" si="6"/>
        <v>5887</v>
      </c>
      <c r="H221" s="268"/>
      <c r="I221" s="492">
        <f>'KIPP Assumptions'!$B$110</f>
        <v>1.4500000000000001E-2</v>
      </c>
      <c r="J221" s="487"/>
      <c r="K221" s="487"/>
      <c r="L221" s="491"/>
      <c r="M221" s="487"/>
      <c r="N221" s="487"/>
      <c r="O221" s="487"/>
      <c r="P221" s="487"/>
      <c r="Q221" s="237"/>
      <c r="R221" s="237"/>
      <c r="S221" s="237"/>
      <c r="T221" s="237"/>
      <c r="U221" s="102"/>
      <c r="V221" s="102"/>
      <c r="W221" s="102"/>
      <c r="X221" s="102"/>
      <c r="Y221" s="102"/>
    </row>
    <row r="222" spans="1:25" x14ac:dyDescent="0.2">
      <c r="A222" s="225">
        <v>161</v>
      </c>
      <c r="B222" s="37"/>
      <c r="C222" s="10" t="s">
        <v>219</v>
      </c>
      <c r="D222" s="10"/>
      <c r="E222" s="19" t="s">
        <v>220</v>
      </c>
      <c r="F222" s="159" t="s">
        <v>11</v>
      </c>
      <c r="G222" s="303">
        <f t="shared" si="6"/>
        <v>13044.409249413493</v>
      </c>
      <c r="H222" s="268"/>
      <c r="I222" s="492">
        <f>+'KIPP Assumptions'!$B$113</f>
        <v>3.21290868212155E-2</v>
      </c>
      <c r="J222" s="487"/>
      <c r="K222" s="487"/>
      <c r="L222" s="491"/>
      <c r="M222" s="487"/>
      <c r="N222" s="487"/>
      <c r="O222" s="487"/>
      <c r="P222" s="487"/>
      <c r="Q222" s="237"/>
      <c r="R222" s="237"/>
      <c r="S222" s="237"/>
      <c r="T222" s="237"/>
      <c r="U222" s="102"/>
      <c r="V222" s="102"/>
      <c r="W222" s="102"/>
      <c r="X222" s="102"/>
      <c r="Y222" s="102"/>
    </row>
    <row r="223" spans="1:25" x14ac:dyDescent="0.2">
      <c r="A223" s="225">
        <v>162</v>
      </c>
      <c r="B223" s="37"/>
      <c r="C223" s="10" t="s">
        <v>102</v>
      </c>
      <c r="D223" s="10"/>
      <c r="E223" s="19" t="s">
        <v>103</v>
      </c>
      <c r="F223" s="159" t="s">
        <v>11</v>
      </c>
      <c r="G223" s="303">
        <f t="shared" si="6"/>
        <v>406</v>
      </c>
      <c r="H223" s="268"/>
      <c r="I223" s="492">
        <f>+'KIPP Assumptions'!$B$112</f>
        <v>1E-3</v>
      </c>
      <c r="J223" s="487"/>
      <c r="K223" s="487"/>
      <c r="L223" s="491"/>
      <c r="M223" s="487"/>
      <c r="N223" s="487"/>
      <c r="O223" s="487"/>
      <c r="P223" s="487"/>
      <c r="Q223" s="237"/>
      <c r="R223" s="237"/>
      <c r="S223" s="237"/>
      <c r="T223" s="237"/>
      <c r="U223" s="102"/>
      <c r="V223" s="102"/>
      <c r="W223" s="102"/>
      <c r="X223" s="102"/>
      <c r="Y223" s="102"/>
    </row>
    <row r="224" spans="1:25" x14ac:dyDescent="0.2">
      <c r="A224" s="225">
        <v>163</v>
      </c>
      <c r="B224" s="37"/>
      <c r="C224" s="10" t="s">
        <v>104</v>
      </c>
      <c r="D224" s="10"/>
      <c r="E224" s="19" t="s">
        <v>105</v>
      </c>
      <c r="F224" s="159" t="s">
        <v>11</v>
      </c>
      <c r="G224" s="303"/>
      <c r="H224" s="268"/>
      <c r="I224" s="487"/>
      <c r="J224" s="487"/>
      <c r="K224" s="487"/>
      <c r="L224" s="491"/>
      <c r="M224" s="487"/>
      <c r="N224" s="487"/>
      <c r="O224" s="487"/>
      <c r="P224" s="487"/>
      <c r="Q224" s="237"/>
      <c r="R224" s="237"/>
      <c r="S224" s="237"/>
      <c r="T224" s="237"/>
      <c r="U224" s="102"/>
      <c r="V224" s="102"/>
      <c r="W224" s="102"/>
      <c r="X224" s="102"/>
      <c r="Y224" s="102"/>
    </row>
    <row r="225" spans="1:25" x14ac:dyDescent="0.2">
      <c r="A225" s="225">
        <v>164</v>
      </c>
      <c r="B225" s="37"/>
      <c r="C225" s="86" t="s">
        <v>283</v>
      </c>
      <c r="D225" s="10"/>
      <c r="E225" s="19"/>
      <c r="F225" s="159"/>
      <c r="G225" s="303"/>
      <c r="H225" s="268"/>
      <c r="I225" s="487"/>
      <c r="J225" s="487"/>
      <c r="K225" s="487"/>
      <c r="L225" s="491"/>
      <c r="M225" s="487"/>
      <c r="N225" s="487"/>
      <c r="O225" s="487"/>
      <c r="P225" s="487"/>
      <c r="Q225" s="237"/>
      <c r="R225" s="237"/>
      <c r="S225" s="237"/>
      <c r="T225" s="237"/>
      <c r="U225" s="102"/>
      <c r="V225" s="102"/>
      <c r="W225" s="102"/>
      <c r="X225" s="102"/>
      <c r="Y225" s="102"/>
    </row>
    <row r="226" spans="1:25" x14ac:dyDescent="0.2">
      <c r="A226" s="225">
        <v>165</v>
      </c>
      <c r="B226" s="37"/>
      <c r="C226" s="86"/>
      <c r="D226" s="10"/>
      <c r="E226" s="19"/>
      <c r="F226" s="159"/>
      <c r="G226" s="303"/>
      <c r="H226" s="268"/>
      <c r="I226" s="487"/>
      <c r="J226" s="487"/>
      <c r="K226" s="487"/>
      <c r="L226" s="491"/>
      <c r="M226" s="487"/>
      <c r="N226" s="487"/>
      <c r="O226" s="487"/>
      <c r="P226" s="487"/>
      <c r="Q226" s="237"/>
      <c r="R226" s="237"/>
      <c r="S226" s="237"/>
      <c r="T226" s="237"/>
      <c r="U226" s="102"/>
      <c r="V226" s="102"/>
      <c r="W226" s="102"/>
      <c r="X226" s="102"/>
      <c r="Y226" s="102"/>
    </row>
    <row r="227" spans="1:25" x14ac:dyDescent="0.2">
      <c r="A227" s="225">
        <v>166</v>
      </c>
      <c r="B227" s="84"/>
      <c r="D227" s="14"/>
      <c r="E227" s="15"/>
      <c r="F227" s="167"/>
      <c r="G227" s="315"/>
      <c r="H227" s="283"/>
      <c r="I227" s="487"/>
      <c r="J227" s="487"/>
      <c r="K227" s="487"/>
      <c r="L227" s="491"/>
      <c r="M227" s="487"/>
      <c r="N227" s="487"/>
      <c r="O227" s="487"/>
      <c r="P227" s="487"/>
      <c r="Q227" s="237"/>
      <c r="R227" s="237"/>
      <c r="S227" s="237"/>
      <c r="T227" s="237"/>
      <c r="U227" s="102"/>
      <c r="V227" s="102"/>
      <c r="W227" s="102"/>
      <c r="X227" s="102"/>
      <c r="Y227" s="102"/>
    </row>
    <row r="228" spans="1:25" ht="15" x14ac:dyDescent="0.25">
      <c r="A228" s="226">
        <v>167</v>
      </c>
      <c r="B228" s="88" t="s">
        <v>145</v>
      </c>
      <c r="C228" s="52"/>
      <c r="D228" s="52"/>
      <c r="E228" s="50"/>
      <c r="F228" s="163"/>
      <c r="G228" s="306">
        <f>SUM(G206:G227)</f>
        <v>540211.3478887513</v>
      </c>
      <c r="H228" s="271"/>
      <c r="I228" s="487"/>
      <c r="J228" s="487"/>
      <c r="K228" s="487"/>
      <c r="L228" s="491"/>
      <c r="M228" s="487"/>
      <c r="N228" s="487"/>
      <c r="O228" s="487"/>
      <c r="P228" s="487"/>
      <c r="Q228" s="237"/>
      <c r="R228" s="237"/>
      <c r="S228" s="237"/>
      <c r="T228" s="237"/>
      <c r="U228" s="102"/>
      <c r="V228" s="102"/>
      <c r="W228" s="102"/>
      <c r="X228" s="102"/>
      <c r="Y228" s="102"/>
    </row>
    <row r="229" spans="1:25" ht="6.75" customHeight="1" x14ac:dyDescent="0.2">
      <c r="A229" s="230"/>
      <c r="B229" s="36"/>
      <c r="C229" s="13"/>
      <c r="D229" s="13"/>
      <c r="E229" s="17"/>
      <c r="F229" s="171"/>
      <c r="G229" s="319"/>
      <c r="H229" s="288"/>
      <c r="I229" s="487"/>
      <c r="J229" s="487"/>
      <c r="K229" s="487"/>
      <c r="L229" s="491"/>
      <c r="M229" s="487"/>
      <c r="N229" s="487"/>
      <c r="O229" s="487"/>
      <c r="P229" s="487"/>
      <c r="Q229" s="237"/>
      <c r="R229" s="237"/>
      <c r="S229" s="237"/>
      <c r="T229" s="237"/>
      <c r="U229" s="102"/>
      <c r="V229" s="102"/>
      <c r="W229" s="102"/>
      <c r="X229" s="102"/>
      <c r="Y229" s="102"/>
    </row>
    <row r="230" spans="1:25" s="5" customFormat="1" ht="15" x14ac:dyDescent="0.25">
      <c r="A230" s="225"/>
      <c r="B230" s="89" t="s">
        <v>27</v>
      </c>
      <c r="C230" s="54"/>
      <c r="D230" s="54"/>
      <c r="E230" s="64"/>
      <c r="F230" s="168"/>
      <c r="G230" s="316"/>
      <c r="H230" s="284"/>
      <c r="I230" s="489"/>
      <c r="J230" s="489"/>
      <c r="K230" s="489"/>
      <c r="L230" s="491"/>
      <c r="M230" s="489"/>
      <c r="N230" s="489"/>
      <c r="O230" s="489"/>
      <c r="P230" s="489"/>
      <c r="Q230" s="244"/>
      <c r="R230" s="244"/>
      <c r="S230" s="244"/>
      <c r="T230" s="244"/>
      <c r="U230" s="240"/>
      <c r="V230" s="240"/>
      <c r="W230" s="240"/>
      <c r="X230" s="240"/>
      <c r="Y230" s="240"/>
    </row>
    <row r="231" spans="1:25" x14ac:dyDescent="0.2">
      <c r="A231" s="225"/>
      <c r="B231" s="37">
        <v>90</v>
      </c>
      <c r="C231" s="10" t="s">
        <v>146</v>
      </c>
      <c r="D231" s="10"/>
      <c r="E231" s="68"/>
      <c r="F231" s="172"/>
      <c r="G231" s="320"/>
      <c r="H231" s="289"/>
      <c r="I231" s="487"/>
      <c r="J231" s="487"/>
      <c r="K231" s="487"/>
      <c r="L231" s="491"/>
      <c r="M231" s="487"/>
      <c r="N231" s="487"/>
      <c r="O231" s="487"/>
      <c r="P231" s="487"/>
      <c r="Q231" s="237"/>
      <c r="R231" s="237"/>
      <c r="S231" s="237"/>
      <c r="T231" s="237"/>
      <c r="U231" s="102"/>
      <c r="V231" s="102"/>
      <c r="W231" s="102"/>
      <c r="X231" s="102"/>
      <c r="Y231" s="102"/>
    </row>
    <row r="232" spans="1:25" x14ac:dyDescent="0.2">
      <c r="A232" s="225"/>
      <c r="B232" s="37"/>
      <c r="C232" s="10" t="s">
        <v>147</v>
      </c>
      <c r="D232" s="10"/>
      <c r="E232" s="72"/>
      <c r="F232" s="157"/>
      <c r="G232" s="301"/>
      <c r="H232" s="266"/>
      <c r="I232" s="487"/>
      <c r="J232" s="487"/>
      <c r="K232" s="487"/>
      <c r="L232" s="491"/>
      <c r="M232" s="487"/>
      <c r="N232" s="487"/>
      <c r="O232" s="487"/>
      <c r="P232" s="487"/>
      <c r="Q232" s="237"/>
      <c r="R232" s="237"/>
      <c r="S232" s="237"/>
      <c r="T232" s="237"/>
      <c r="U232" s="102"/>
      <c r="V232" s="102"/>
      <c r="W232" s="102"/>
      <c r="X232" s="102"/>
      <c r="Y232" s="102"/>
    </row>
    <row r="233" spans="1:25" x14ac:dyDescent="0.2">
      <c r="A233" s="225">
        <v>168</v>
      </c>
      <c r="B233" s="37"/>
      <c r="C233" s="10" t="s">
        <v>182</v>
      </c>
      <c r="D233" s="10" t="s">
        <v>76</v>
      </c>
      <c r="E233" s="19" t="s">
        <v>222</v>
      </c>
      <c r="F233" s="159" t="s">
        <v>244</v>
      </c>
      <c r="G233" s="303"/>
      <c r="H233" s="268"/>
      <c r="I233" s="487"/>
      <c r="J233" s="487"/>
      <c r="K233" s="487"/>
      <c r="L233" s="491"/>
      <c r="M233" s="487"/>
      <c r="N233" s="487"/>
      <c r="O233" s="487"/>
      <c r="P233" s="487"/>
      <c r="Q233" s="237"/>
      <c r="R233" s="237"/>
      <c r="S233" s="237"/>
      <c r="T233" s="237"/>
      <c r="U233" s="102"/>
      <c r="V233" s="102"/>
      <c r="W233" s="102"/>
      <c r="X233" s="102"/>
      <c r="Y233" s="102"/>
    </row>
    <row r="234" spans="1:25" x14ac:dyDescent="0.2">
      <c r="A234" s="225">
        <v>169</v>
      </c>
      <c r="B234" s="37"/>
      <c r="C234" s="10"/>
      <c r="D234" s="10" t="s">
        <v>83</v>
      </c>
      <c r="E234" s="19" t="s">
        <v>84</v>
      </c>
      <c r="F234" s="159" t="s">
        <v>148</v>
      </c>
      <c r="G234" s="303">
        <v>26649.193548387098</v>
      </c>
      <c r="H234" s="268" t="s">
        <v>521</v>
      </c>
      <c r="I234" s="487"/>
      <c r="J234" s="491"/>
      <c r="K234" s="487"/>
      <c r="L234" s="491"/>
      <c r="M234" s="487"/>
      <c r="N234" s="500"/>
      <c r="O234" s="487"/>
      <c r="P234" s="487"/>
      <c r="Q234" s="237"/>
      <c r="R234" s="237"/>
      <c r="S234" s="237"/>
      <c r="T234" s="237"/>
      <c r="U234" s="102"/>
      <c r="V234" s="102"/>
      <c r="W234" s="102"/>
      <c r="X234" s="102"/>
      <c r="Y234" s="102"/>
    </row>
    <row r="235" spans="1:25" x14ac:dyDescent="0.2">
      <c r="A235" s="225">
        <v>170</v>
      </c>
      <c r="B235" s="37"/>
      <c r="C235" s="10"/>
      <c r="D235" s="10" t="s">
        <v>297</v>
      </c>
      <c r="E235" s="19" t="s">
        <v>149</v>
      </c>
      <c r="F235" s="159" t="s">
        <v>148</v>
      </c>
      <c r="G235" s="303"/>
      <c r="H235" s="268"/>
      <c r="I235" s="487"/>
      <c r="J235" s="487"/>
      <c r="K235" s="487"/>
      <c r="L235" s="491"/>
      <c r="M235" s="487"/>
      <c r="N235" s="491"/>
      <c r="O235" s="487"/>
      <c r="P235" s="487"/>
      <c r="Q235" s="237"/>
      <c r="R235" s="237"/>
      <c r="S235" s="237"/>
      <c r="T235" s="237"/>
      <c r="U235" s="102"/>
      <c r="V235" s="102"/>
      <c r="W235" s="102"/>
      <c r="X235" s="102"/>
      <c r="Y235" s="102"/>
    </row>
    <row r="236" spans="1:25" x14ac:dyDescent="0.2">
      <c r="A236" s="225">
        <v>171</v>
      </c>
      <c r="B236" s="37"/>
      <c r="C236" s="10"/>
      <c r="D236" s="10" t="s">
        <v>85</v>
      </c>
      <c r="E236" s="19" t="s">
        <v>86</v>
      </c>
      <c r="F236" s="159" t="s">
        <v>148</v>
      </c>
      <c r="G236" s="303"/>
      <c r="H236" s="268"/>
      <c r="I236" s="487"/>
      <c r="J236" s="487"/>
      <c r="K236" s="487"/>
      <c r="L236" s="491"/>
      <c r="M236" s="487"/>
      <c r="N236" s="491"/>
      <c r="O236" s="487"/>
      <c r="P236" s="487"/>
      <c r="Q236" s="237"/>
      <c r="R236" s="237"/>
      <c r="S236" s="237"/>
      <c r="T236" s="237"/>
      <c r="U236" s="102"/>
      <c r="V236" s="102"/>
      <c r="W236" s="102"/>
      <c r="X236" s="102"/>
      <c r="Y236" s="102"/>
    </row>
    <row r="237" spans="1:25" x14ac:dyDescent="0.2">
      <c r="A237" s="225">
        <v>172</v>
      </c>
      <c r="B237" s="37"/>
      <c r="C237" s="10"/>
      <c r="D237" s="10" t="s">
        <v>111</v>
      </c>
      <c r="E237" s="19" t="s">
        <v>112</v>
      </c>
      <c r="F237" s="159" t="s">
        <v>148</v>
      </c>
      <c r="G237" s="303"/>
      <c r="H237" s="268"/>
      <c r="I237" s="487"/>
      <c r="J237" s="487"/>
      <c r="K237" s="487"/>
      <c r="L237" s="491"/>
      <c r="M237" s="487"/>
      <c r="N237" s="487"/>
      <c r="O237" s="487"/>
      <c r="P237" s="487"/>
      <c r="Q237" s="237"/>
      <c r="R237" s="237"/>
      <c r="S237" s="237"/>
      <c r="T237" s="237"/>
      <c r="U237" s="102"/>
      <c r="V237" s="102"/>
      <c r="W237" s="102"/>
      <c r="X237" s="102"/>
      <c r="Y237" s="102"/>
    </row>
    <row r="238" spans="1:25" x14ac:dyDescent="0.2">
      <c r="A238" s="225">
        <v>173</v>
      </c>
      <c r="B238" s="37"/>
      <c r="C238" s="10"/>
      <c r="D238" s="10" t="s">
        <v>150</v>
      </c>
      <c r="E238" s="19" t="s">
        <v>144</v>
      </c>
      <c r="F238" s="159" t="s">
        <v>148</v>
      </c>
      <c r="G238" s="303"/>
      <c r="H238" s="268"/>
      <c r="I238" s="487"/>
      <c r="J238" s="487"/>
      <c r="K238" s="487"/>
      <c r="L238" s="491"/>
      <c r="M238" s="487"/>
      <c r="N238" s="487"/>
      <c r="O238" s="487"/>
      <c r="P238" s="487"/>
      <c r="Q238" s="237"/>
      <c r="R238" s="237"/>
      <c r="S238" s="237"/>
      <c r="T238" s="237"/>
      <c r="U238" s="102"/>
      <c r="V238" s="102"/>
      <c r="W238" s="102"/>
      <c r="X238" s="102"/>
      <c r="Y238" s="102"/>
    </row>
    <row r="239" spans="1:25" x14ac:dyDescent="0.2">
      <c r="A239" s="225">
        <v>174</v>
      </c>
      <c r="B239" s="37"/>
      <c r="C239" s="10"/>
      <c r="D239" s="10" t="s">
        <v>131</v>
      </c>
      <c r="E239" s="19" t="s">
        <v>132</v>
      </c>
      <c r="F239" s="159" t="s">
        <v>148</v>
      </c>
      <c r="G239" s="303"/>
      <c r="H239" s="268"/>
      <c r="I239" s="487"/>
      <c r="J239" s="487"/>
      <c r="K239" s="487"/>
      <c r="L239" s="491"/>
      <c r="M239" s="487"/>
      <c r="N239" s="487"/>
      <c r="O239" s="487"/>
      <c r="P239" s="487"/>
      <c r="Q239" s="237"/>
      <c r="R239" s="237"/>
      <c r="S239" s="237"/>
      <c r="T239" s="237"/>
      <c r="U239" s="102"/>
      <c r="V239" s="102"/>
      <c r="W239" s="102"/>
      <c r="X239" s="102"/>
      <c r="Y239" s="102"/>
    </row>
    <row r="240" spans="1:25" x14ac:dyDescent="0.2">
      <c r="A240" s="225">
        <v>175</v>
      </c>
      <c r="B240" s="37"/>
      <c r="C240" s="10"/>
      <c r="D240" s="10" t="s">
        <v>87</v>
      </c>
      <c r="E240" s="19" t="s">
        <v>88</v>
      </c>
      <c r="F240" s="159" t="s">
        <v>148</v>
      </c>
      <c r="G240" s="303"/>
      <c r="H240" s="268"/>
      <c r="I240" s="487"/>
      <c r="J240" s="487"/>
      <c r="K240" s="487"/>
      <c r="L240" s="491"/>
      <c r="M240" s="487"/>
      <c r="N240" s="487"/>
      <c r="O240" s="487"/>
      <c r="P240" s="487"/>
      <c r="Q240" s="237"/>
      <c r="R240" s="237"/>
      <c r="S240" s="237"/>
      <c r="T240" s="237"/>
      <c r="U240" s="102"/>
      <c r="V240" s="102"/>
      <c r="W240" s="102"/>
      <c r="X240" s="102"/>
      <c r="Y240" s="102"/>
    </row>
    <row r="241" spans="1:25" x14ac:dyDescent="0.2">
      <c r="A241" s="225">
        <v>176</v>
      </c>
      <c r="B241" s="37"/>
      <c r="C241" s="10"/>
      <c r="D241" s="10" t="s">
        <v>110</v>
      </c>
      <c r="E241" s="19" t="s">
        <v>90</v>
      </c>
      <c r="F241" s="159" t="s">
        <v>148</v>
      </c>
      <c r="G241" s="303"/>
      <c r="H241" s="268"/>
      <c r="I241" s="487"/>
      <c r="J241" s="487"/>
      <c r="K241" s="487"/>
      <c r="L241" s="491"/>
      <c r="M241" s="487"/>
      <c r="N241" s="487"/>
      <c r="O241" s="487"/>
      <c r="P241" s="487"/>
      <c r="Q241" s="237"/>
      <c r="R241" s="237"/>
      <c r="S241" s="237"/>
      <c r="T241" s="237"/>
      <c r="U241" s="102"/>
      <c r="V241" s="102"/>
      <c r="W241" s="102"/>
      <c r="X241" s="102"/>
      <c r="Y241" s="102"/>
    </row>
    <row r="242" spans="1:25" x14ac:dyDescent="0.2">
      <c r="A242" s="225">
        <v>177</v>
      </c>
      <c r="B242" s="37"/>
      <c r="C242" s="10"/>
      <c r="D242" s="10" t="s">
        <v>93</v>
      </c>
      <c r="E242" s="19" t="s">
        <v>94</v>
      </c>
      <c r="F242" s="159" t="s">
        <v>148</v>
      </c>
      <c r="G242" s="303"/>
      <c r="H242" s="268"/>
      <c r="I242" s="487"/>
      <c r="J242" s="487"/>
      <c r="K242" s="487"/>
      <c r="L242" s="491"/>
      <c r="M242" s="487"/>
      <c r="N242" s="487"/>
      <c r="O242" s="487"/>
      <c r="P242" s="487"/>
      <c r="Q242" s="237"/>
      <c r="R242" s="237"/>
      <c r="S242" s="237"/>
      <c r="T242" s="237"/>
      <c r="U242" s="102"/>
      <c r="V242" s="102"/>
      <c r="W242" s="102"/>
      <c r="X242" s="102"/>
      <c r="Y242" s="102"/>
    </row>
    <row r="243" spans="1:25" x14ac:dyDescent="0.2">
      <c r="A243" s="225">
        <v>178</v>
      </c>
      <c r="B243" s="37"/>
      <c r="C243" s="10"/>
      <c r="D243" s="10" t="s">
        <v>151</v>
      </c>
      <c r="E243" s="19" t="s">
        <v>152</v>
      </c>
      <c r="F243" s="159" t="s">
        <v>153</v>
      </c>
      <c r="G243" s="303"/>
      <c r="H243" s="268"/>
      <c r="I243" s="487"/>
      <c r="J243" s="487"/>
      <c r="K243" s="487"/>
      <c r="L243" s="491"/>
      <c r="M243" s="487"/>
      <c r="N243" s="487"/>
      <c r="O243" s="487"/>
      <c r="P243" s="487"/>
      <c r="Q243" s="237"/>
      <c r="R243" s="237"/>
      <c r="S243" s="237"/>
      <c r="T243" s="237"/>
      <c r="U243" s="102"/>
      <c r="V243" s="102"/>
      <c r="W243" s="102"/>
      <c r="X243" s="102"/>
      <c r="Y243" s="102"/>
    </row>
    <row r="244" spans="1:25" x14ac:dyDescent="0.2">
      <c r="A244" s="225">
        <v>179</v>
      </c>
      <c r="B244" s="37"/>
      <c r="C244" s="10"/>
      <c r="D244" s="10" t="s">
        <v>95</v>
      </c>
      <c r="E244" s="19" t="s">
        <v>96</v>
      </c>
      <c r="F244" s="159" t="s">
        <v>148</v>
      </c>
      <c r="G244" s="303"/>
      <c r="H244" s="268"/>
      <c r="I244" s="487"/>
      <c r="J244" s="487"/>
      <c r="K244" s="487"/>
      <c r="L244" s="491"/>
      <c r="M244" s="487"/>
      <c r="N244" s="487"/>
      <c r="O244" s="487"/>
      <c r="P244" s="487"/>
      <c r="Q244" s="237"/>
      <c r="R244" s="237"/>
      <c r="S244" s="237"/>
      <c r="T244" s="237"/>
      <c r="U244" s="102"/>
      <c r="V244" s="102"/>
      <c r="W244" s="102"/>
      <c r="X244" s="102"/>
      <c r="Y244" s="102"/>
    </row>
    <row r="245" spans="1:25" x14ac:dyDescent="0.2">
      <c r="A245" s="225">
        <v>180</v>
      </c>
      <c r="B245" s="37"/>
      <c r="C245" s="10"/>
      <c r="D245" s="10" t="s">
        <v>295</v>
      </c>
      <c r="E245" s="19" t="s">
        <v>97</v>
      </c>
      <c r="F245" s="159" t="s">
        <v>244</v>
      </c>
      <c r="G245" s="303"/>
      <c r="H245" s="268"/>
      <c r="I245" s="487"/>
      <c r="J245" s="487"/>
      <c r="K245" s="487"/>
      <c r="L245" s="491"/>
      <c r="M245" s="487"/>
      <c r="N245" s="487"/>
      <c r="O245" s="487"/>
      <c r="P245" s="487"/>
      <c r="Q245" s="237"/>
      <c r="R245" s="237"/>
      <c r="S245" s="237"/>
      <c r="T245" s="237"/>
      <c r="U245" s="102"/>
      <c r="V245" s="102"/>
      <c r="W245" s="102"/>
      <c r="X245" s="102"/>
      <c r="Y245" s="102"/>
    </row>
    <row r="246" spans="1:25" x14ac:dyDescent="0.2">
      <c r="A246" s="225">
        <v>181</v>
      </c>
      <c r="B246" s="37"/>
      <c r="C246" s="10"/>
      <c r="D246" s="10" t="s">
        <v>98</v>
      </c>
      <c r="E246" s="19" t="s">
        <v>99</v>
      </c>
      <c r="F246" s="159" t="s">
        <v>244</v>
      </c>
      <c r="G246" s="303"/>
      <c r="H246" s="268"/>
      <c r="I246" s="487"/>
      <c r="J246" s="487"/>
      <c r="K246" s="487"/>
      <c r="L246" s="491"/>
      <c r="M246" s="487"/>
      <c r="N246" s="487"/>
      <c r="O246" s="487"/>
      <c r="P246" s="487"/>
      <c r="Q246" s="237"/>
      <c r="R246" s="237"/>
      <c r="S246" s="237"/>
      <c r="T246" s="237"/>
      <c r="U246" s="102"/>
      <c r="V246" s="102"/>
      <c r="W246" s="102"/>
      <c r="X246" s="102"/>
      <c r="Y246" s="102"/>
    </row>
    <row r="247" spans="1:25" x14ac:dyDescent="0.2">
      <c r="A247" s="225">
        <v>182</v>
      </c>
      <c r="B247" s="37"/>
      <c r="C247" s="10"/>
      <c r="D247" s="10" t="s">
        <v>100</v>
      </c>
      <c r="E247" s="19" t="s">
        <v>101</v>
      </c>
      <c r="F247" s="159" t="s">
        <v>244</v>
      </c>
      <c r="G247" s="303"/>
      <c r="H247" s="268"/>
      <c r="I247" s="487"/>
      <c r="J247" s="487"/>
      <c r="K247" s="487"/>
      <c r="L247" s="491"/>
      <c r="M247" s="487"/>
      <c r="N247" s="487"/>
      <c r="O247" s="487"/>
      <c r="P247" s="487"/>
      <c r="Q247" s="237"/>
      <c r="R247" s="237"/>
      <c r="S247" s="237"/>
      <c r="T247" s="237"/>
      <c r="U247" s="102"/>
      <c r="V247" s="102"/>
      <c r="W247" s="102"/>
      <c r="X247" s="102"/>
      <c r="Y247" s="102"/>
    </row>
    <row r="248" spans="1:25" x14ac:dyDescent="0.2">
      <c r="A248" s="225">
        <v>183</v>
      </c>
      <c r="B248" s="37"/>
      <c r="C248" s="10"/>
      <c r="D248" s="10" t="s">
        <v>219</v>
      </c>
      <c r="E248" s="19" t="s">
        <v>220</v>
      </c>
      <c r="F248" s="159" t="s">
        <v>244</v>
      </c>
      <c r="G248" s="303"/>
      <c r="H248" s="268"/>
      <c r="I248" s="487"/>
      <c r="J248" s="487"/>
      <c r="K248" s="487"/>
      <c r="L248" s="491"/>
      <c r="M248" s="487"/>
      <c r="N248" s="487"/>
      <c r="O248" s="487"/>
      <c r="P248" s="487"/>
      <c r="Q248" s="237"/>
      <c r="R248" s="237"/>
      <c r="S248" s="237"/>
      <c r="T248" s="237"/>
      <c r="U248" s="102"/>
      <c r="V248" s="102"/>
      <c r="W248" s="102"/>
      <c r="X248" s="102"/>
      <c r="Y248" s="102"/>
    </row>
    <row r="249" spans="1:25" x14ac:dyDescent="0.2">
      <c r="A249" s="225">
        <v>184</v>
      </c>
      <c r="B249" s="37"/>
      <c r="C249" s="10"/>
      <c r="D249" s="10" t="s">
        <v>102</v>
      </c>
      <c r="E249" s="19" t="s">
        <v>103</v>
      </c>
      <c r="F249" s="159" t="s">
        <v>244</v>
      </c>
      <c r="G249" s="303"/>
      <c r="H249" s="268"/>
      <c r="I249" s="487"/>
      <c r="J249" s="487"/>
      <c r="K249" s="487"/>
      <c r="L249" s="491"/>
      <c r="M249" s="487"/>
      <c r="N249" s="487"/>
      <c r="O249" s="487"/>
      <c r="P249" s="487"/>
      <c r="Q249" s="237"/>
      <c r="R249" s="237"/>
      <c r="S249" s="237"/>
      <c r="T249" s="237"/>
      <c r="U249" s="102"/>
      <c r="V249" s="102"/>
      <c r="W249" s="102"/>
      <c r="X249" s="102"/>
      <c r="Y249" s="102"/>
    </row>
    <row r="250" spans="1:25" x14ac:dyDescent="0.2">
      <c r="A250" s="225">
        <v>185</v>
      </c>
      <c r="B250" s="37"/>
      <c r="C250" s="10"/>
      <c r="D250" s="10" t="s">
        <v>104</v>
      </c>
      <c r="E250" s="19" t="s">
        <v>105</v>
      </c>
      <c r="F250" s="159" t="s">
        <v>244</v>
      </c>
      <c r="G250" s="303"/>
      <c r="H250" s="268"/>
      <c r="I250" s="487"/>
      <c r="J250" s="487"/>
      <c r="K250" s="487"/>
      <c r="L250" s="491"/>
      <c r="M250" s="487"/>
      <c r="N250" s="487"/>
      <c r="O250" s="487"/>
      <c r="P250" s="487"/>
      <c r="Q250" s="237"/>
      <c r="R250" s="237"/>
      <c r="S250" s="237"/>
      <c r="T250" s="237"/>
      <c r="U250" s="102"/>
      <c r="V250" s="102"/>
      <c r="W250" s="102"/>
      <c r="X250" s="102"/>
      <c r="Y250" s="102"/>
    </row>
    <row r="251" spans="1:25" x14ac:dyDescent="0.2">
      <c r="A251" s="225">
        <v>186</v>
      </c>
      <c r="B251" s="37"/>
      <c r="C251" s="86"/>
      <c r="D251" s="10"/>
      <c r="E251" s="19"/>
      <c r="F251" s="159"/>
      <c r="G251" s="303"/>
      <c r="H251" s="268"/>
      <c r="I251" s="487"/>
      <c r="J251" s="487"/>
      <c r="K251" s="487"/>
      <c r="L251" s="491"/>
      <c r="M251" s="487"/>
      <c r="N251" s="487"/>
      <c r="O251" s="487"/>
      <c r="P251" s="487"/>
      <c r="Q251" s="237"/>
      <c r="R251" s="237"/>
      <c r="S251" s="237"/>
      <c r="T251" s="237"/>
      <c r="U251" s="102"/>
      <c r="V251" s="102"/>
      <c r="W251" s="102"/>
      <c r="X251" s="102"/>
      <c r="Y251" s="102"/>
    </row>
    <row r="252" spans="1:25" x14ac:dyDescent="0.2">
      <c r="A252" s="225">
        <v>187</v>
      </c>
      <c r="B252" s="84"/>
      <c r="D252" s="14"/>
      <c r="E252" s="15"/>
      <c r="F252" s="167"/>
      <c r="G252" s="315"/>
      <c r="H252" s="283"/>
      <c r="I252" s="487"/>
      <c r="J252" s="487"/>
      <c r="K252" s="487"/>
      <c r="L252" s="491"/>
      <c r="M252" s="487"/>
      <c r="N252" s="487"/>
      <c r="O252" s="487"/>
      <c r="P252" s="487"/>
      <c r="Q252" s="237"/>
      <c r="R252" s="237"/>
      <c r="S252" s="237"/>
      <c r="T252" s="237"/>
      <c r="U252" s="102"/>
      <c r="V252" s="102"/>
      <c r="W252" s="102"/>
      <c r="X252" s="102"/>
      <c r="Y252" s="102"/>
    </row>
    <row r="253" spans="1:25" x14ac:dyDescent="0.2">
      <c r="A253" s="226">
        <v>188</v>
      </c>
      <c r="B253" s="88" t="s">
        <v>154</v>
      </c>
      <c r="C253" s="7"/>
      <c r="D253" s="7"/>
      <c r="E253" s="50"/>
      <c r="F253" s="163"/>
      <c r="G253" s="306">
        <f>SUM(G231:G252)</f>
        <v>26649.193548387098</v>
      </c>
      <c r="H253" s="271"/>
      <c r="I253" s="487"/>
      <c r="J253" s="487"/>
      <c r="K253" s="487"/>
      <c r="L253" s="491"/>
      <c r="M253" s="487"/>
      <c r="N253" s="487"/>
      <c r="O253" s="487"/>
      <c r="P253" s="487"/>
      <c r="Q253" s="237"/>
      <c r="R253" s="237"/>
      <c r="S253" s="237"/>
      <c r="T253" s="237"/>
      <c r="U253" s="102"/>
      <c r="V253" s="102"/>
      <c r="W253" s="102"/>
      <c r="X253" s="102"/>
      <c r="Y253" s="102"/>
    </row>
    <row r="254" spans="1:25" x14ac:dyDescent="0.2">
      <c r="A254" s="230"/>
      <c r="B254" s="36"/>
      <c r="C254" s="13"/>
      <c r="D254" s="13"/>
      <c r="E254" s="72"/>
      <c r="F254" s="157"/>
      <c r="G254" s="301"/>
      <c r="H254" s="266"/>
      <c r="I254" s="487"/>
      <c r="J254" s="487"/>
      <c r="K254" s="487"/>
      <c r="L254" s="491"/>
      <c r="M254" s="487"/>
      <c r="N254" s="487"/>
      <c r="O254" s="487"/>
      <c r="P254" s="487"/>
      <c r="Q254" s="237"/>
      <c r="R254" s="237"/>
      <c r="S254" s="237"/>
      <c r="T254" s="237"/>
      <c r="U254" s="102"/>
      <c r="V254" s="102"/>
      <c r="W254" s="102"/>
      <c r="X254" s="102"/>
      <c r="Y254" s="102"/>
    </row>
    <row r="255" spans="1:25" s="5" customFormat="1" ht="15" x14ac:dyDescent="0.25">
      <c r="A255" s="225"/>
      <c r="B255" s="89" t="s">
        <v>28</v>
      </c>
      <c r="C255" s="54"/>
      <c r="D255" s="54"/>
      <c r="E255" s="78"/>
      <c r="F255" s="170"/>
      <c r="G255" s="318"/>
      <c r="H255" s="286"/>
      <c r="I255" s="489"/>
      <c r="J255" s="489"/>
      <c r="K255" s="489"/>
      <c r="L255" s="491"/>
      <c r="M255" s="489"/>
      <c r="N255" s="489"/>
      <c r="O255" s="489"/>
      <c r="P255" s="489"/>
      <c r="Q255" s="244"/>
      <c r="R255" s="244"/>
      <c r="S255" s="244"/>
      <c r="T255" s="244"/>
      <c r="U255" s="240"/>
      <c r="V255" s="240"/>
      <c r="W255" s="240"/>
      <c r="X255" s="240"/>
      <c r="Y255" s="240"/>
    </row>
    <row r="256" spans="1:25" x14ac:dyDescent="0.2">
      <c r="A256" s="225">
        <v>189</v>
      </c>
      <c r="B256" s="37"/>
      <c r="C256" s="10" t="s">
        <v>298</v>
      </c>
      <c r="D256" s="10"/>
      <c r="E256" s="19" t="s">
        <v>222</v>
      </c>
      <c r="F256" s="159" t="s">
        <v>245</v>
      </c>
      <c r="G256" s="303">
        <f>+I256*J256</f>
        <v>0</v>
      </c>
      <c r="H256" s="268" t="s">
        <v>519</v>
      </c>
      <c r="I256" s="493"/>
      <c r="J256" s="314"/>
      <c r="K256" s="487"/>
      <c r="L256" s="491"/>
      <c r="M256" s="487"/>
      <c r="N256" s="487"/>
      <c r="O256" s="487"/>
      <c r="P256" s="487"/>
      <c r="Q256" s="237"/>
      <c r="R256" s="237"/>
      <c r="S256" s="237"/>
      <c r="T256" s="237"/>
      <c r="U256" s="102"/>
      <c r="V256" s="102"/>
      <c r="W256" s="102"/>
      <c r="X256" s="102"/>
      <c r="Y256" s="102"/>
    </row>
    <row r="257" spans="1:25" x14ac:dyDescent="0.2">
      <c r="A257" s="225">
        <v>190</v>
      </c>
      <c r="B257" s="37"/>
      <c r="C257" s="10" t="s">
        <v>83</v>
      </c>
      <c r="D257" s="10"/>
      <c r="E257" s="19" t="s">
        <v>84</v>
      </c>
      <c r="F257" s="159" t="s">
        <v>156</v>
      </c>
      <c r="G257" s="303"/>
      <c r="H257" s="268"/>
      <c r="I257" s="487"/>
      <c r="J257" s="487"/>
      <c r="K257" s="487"/>
      <c r="L257" s="491"/>
      <c r="M257" s="487"/>
      <c r="N257" s="487"/>
      <c r="O257" s="487"/>
      <c r="P257" s="487"/>
      <c r="Q257" s="237"/>
      <c r="R257" s="237"/>
      <c r="S257" s="237"/>
      <c r="T257" s="237"/>
      <c r="U257" s="102"/>
      <c r="V257" s="102"/>
      <c r="W257" s="102"/>
      <c r="X257" s="102"/>
      <c r="Y257" s="102"/>
    </row>
    <row r="258" spans="1:25" x14ac:dyDescent="0.2">
      <c r="A258" s="225">
        <v>191</v>
      </c>
      <c r="B258" s="37"/>
      <c r="C258" s="10" t="s">
        <v>111</v>
      </c>
      <c r="D258" s="10"/>
      <c r="E258" s="19" t="s">
        <v>112</v>
      </c>
      <c r="F258" s="159" t="s">
        <v>157</v>
      </c>
      <c r="G258" s="303">
        <v>43000</v>
      </c>
      <c r="H258" s="268" t="s">
        <v>468</v>
      </c>
      <c r="I258" s="487"/>
      <c r="J258" s="491"/>
      <c r="K258" s="487"/>
      <c r="L258" s="491"/>
      <c r="M258" s="487"/>
      <c r="N258" s="487"/>
      <c r="O258" s="487"/>
      <c r="P258" s="487"/>
      <c r="Q258" s="237"/>
      <c r="R258" s="237"/>
      <c r="S258" s="237"/>
      <c r="T258" s="237"/>
      <c r="U258" s="102"/>
      <c r="V258" s="102"/>
      <c r="W258" s="102"/>
      <c r="X258" s="102"/>
      <c r="Y258" s="102"/>
    </row>
    <row r="259" spans="1:25" x14ac:dyDescent="0.2">
      <c r="A259" s="225">
        <v>192</v>
      </c>
      <c r="B259" s="37"/>
      <c r="C259" s="10" t="s">
        <v>158</v>
      </c>
      <c r="D259" s="10"/>
      <c r="E259" s="19" t="s">
        <v>159</v>
      </c>
      <c r="F259" s="159" t="s">
        <v>156</v>
      </c>
      <c r="G259" s="303"/>
      <c r="H259" s="268"/>
      <c r="I259" s="487"/>
      <c r="J259" s="487"/>
      <c r="K259" s="487"/>
      <c r="L259" s="491"/>
      <c r="M259" s="487"/>
      <c r="N259" s="487"/>
      <c r="O259" s="487"/>
      <c r="P259" s="487"/>
      <c r="Q259" s="237"/>
      <c r="R259" s="237"/>
      <c r="S259" s="237"/>
      <c r="T259" s="237"/>
      <c r="U259" s="102"/>
      <c r="V259" s="102"/>
      <c r="W259" s="102"/>
      <c r="X259" s="102"/>
      <c r="Y259" s="102"/>
    </row>
    <row r="260" spans="1:25" x14ac:dyDescent="0.2">
      <c r="A260" s="225">
        <v>193</v>
      </c>
      <c r="B260" s="37"/>
      <c r="C260" s="10" t="s">
        <v>110</v>
      </c>
      <c r="D260" s="10"/>
      <c r="E260" s="19" t="s">
        <v>90</v>
      </c>
      <c r="F260" s="159" t="s">
        <v>156</v>
      </c>
      <c r="G260" s="303"/>
      <c r="H260" s="268"/>
      <c r="I260" s="487"/>
      <c r="J260" s="487"/>
      <c r="K260" s="487"/>
      <c r="L260" s="491"/>
      <c r="M260" s="487"/>
      <c r="N260" s="487"/>
      <c r="O260" s="487"/>
      <c r="P260" s="487"/>
      <c r="Q260" s="237"/>
      <c r="R260" s="237"/>
      <c r="S260" s="237"/>
      <c r="T260" s="237"/>
      <c r="U260" s="102"/>
      <c r="V260" s="102"/>
      <c r="W260" s="102"/>
      <c r="X260" s="102"/>
      <c r="Y260" s="102"/>
    </row>
    <row r="261" spans="1:25" x14ac:dyDescent="0.2">
      <c r="A261" s="225">
        <v>194</v>
      </c>
      <c r="B261" s="37"/>
      <c r="C261" s="10" t="s">
        <v>160</v>
      </c>
      <c r="D261" s="10"/>
      <c r="E261" s="19" t="s">
        <v>115</v>
      </c>
      <c r="F261" s="159" t="s">
        <v>156</v>
      </c>
      <c r="G261" s="303"/>
      <c r="H261" s="268"/>
      <c r="I261" s="487"/>
      <c r="J261" s="487"/>
      <c r="K261" s="487"/>
      <c r="L261" s="491"/>
      <c r="M261" s="487"/>
      <c r="N261" s="487"/>
      <c r="O261" s="487"/>
      <c r="P261" s="487"/>
      <c r="Q261" s="237"/>
      <c r="R261" s="237"/>
      <c r="S261" s="237"/>
      <c r="T261" s="237"/>
      <c r="U261" s="102"/>
      <c r="V261" s="102"/>
      <c r="W261" s="102"/>
      <c r="X261" s="102"/>
      <c r="Y261" s="102"/>
    </row>
    <row r="262" spans="1:25" x14ac:dyDescent="0.2">
      <c r="A262" s="225">
        <v>195</v>
      </c>
      <c r="B262" s="37"/>
      <c r="C262" s="10" t="s">
        <v>93</v>
      </c>
      <c r="D262" s="10"/>
      <c r="E262" s="19" t="s">
        <v>94</v>
      </c>
      <c r="F262" s="159" t="s">
        <v>156</v>
      </c>
      <c r="G262" s="303"/>
      <c r="H262" s="268"/>
      <c r="I262" s="487"/>
      <c r="J262" s="487"/>
      <c r="K262" s="487"/>
      <c r="L262" s="491"/>
      <c r="M262" s="487"/>
      <c r="N262" s="487"/>
      <c r="O262" s="487"/>
      <c r="P262" s="487"/>
      <c r="Q262" s="237"/>
      <c r="R262" s="237"/>
      <c r="S262" s="237"/>
      <c r="T262" s="237"/>
      <c r="U262" s="102"/>
      <c r="V262" s="102"/>
      <c r="W262" s="102"/>
      <c r="X262" s="102"/>
      <c r="Y262" s="102"/>
    </row>
    <row r="263" spans="1:25" x14ac:dyDescent="0.2">
      <c r="A263" s="225">
        <v>196</v>
      </c>
      <c r="B263" s="37"/>
      <c r="C263" s="10" t="s">
        <v>95</v>
      </c>
      <c r="D263" s="10"/>
      <c r="E263" s="19" t="s">
        <v>96</v>
      </c>
      <c r="F263" s="159" t="s">
        <v>156</v>
      </c>
      <c r="G263" s="303"/>
      <c r="H263" s="268"/>
      <c r="I263" s="487"/>
      <c r="J263" s="487"/>
      <c r="K263" s="487"/>
      <c r="L263" s="491"/>
      <c r="M263" s="487"/>
      <c r="N263" s="487"/>
      <c r="O263" s="487"/>
      <c r="P263" s="487"/>
      <c r="Q263" s="237"/>
      <c r="R263" s="237"/>
      <c r="S263" s="237"/>
      <c r="T263" s="237"/>
      <c r="U263" s="102"/>
      <c r="V263" s="102"/>
      <c r="W263" s="102"/>
      <c r="X263" s="102"/>
      <c r="Y263" s="102"/>
    </row>
    <row r="264" spans="1:25" x14ac:dyDescent="0.2">
      <c r="A264" s="225"/>
      <c r="B264" s="37"/>
      <c r="C264" s="10" t="s">
        <v>161</v>
      </c>
      <c r="D264" s="10"/>
      <c r="E264" s="62"/>
      <c r="F264" s="158"/>
      <c r="G264" s="302"/>
      <c r="H264" s="267"/>
      <c r="I264" s="487"/>
      <c r="J264" s="487"/>
      <c r="K264" s="487"/>
      <c r="L264" s="491"/>
      <c r="M264" s="487"/>
      <c r="N264" s="487"/>
      <c r="O264" s="487"/>
      <c r="P264" s="487"/>
      <c r="Q264" s="237"/>
      <c r="R264" s="237"/>
      <c r="S264" s="237"/>
      <c r="T264" s="237"/>
      <c r="U264" s="102"/>
      <c r="V264" s="102"/>
      <c r="W264" s="102"/>
      <c r="X264" s="102"/>
      <c r="Y264" s="102"/>
    </row>
    <row r="265" spans="1:25" x14ac:dyDescent="0.2">
      <c r="A265" s="225">
        <v>197</v>
      </c>
      <c r="B265" s="37"/>
      <c r="C265" s="10"/>
      <c r="D265" s="10" t="s">
        <v>162</v>
      </c>
      <c r="E265" s="19" t="s">
        <v>159</v>
      </c>
      <c r="F265" s="159" t="s">
        <v>155</v>
      </c>
      <c r="G265" s="303"/>
      <c r="H265" s="268"/>
      <c r="I265" s="487"/>
      <c r="J265" s="487"/>
      <c r="K265" s="487"/>
      <c r="L265" s="491"/>
      <c r="M265" s="487"/>
      <c r="N265" s="487"/>
      <c r="O265" s="487"/>
      <c r="P265" s="487"/>
      <c r="Q265" s="237"/>
      <c r="R265" s="237"/>
      <c r="S265" s="237"/>
      <c r="T265" s="237"/>
      <c r="U265" s="102"/>
      <c r="V265" s="102"/>
      <c r="W265" s="102"/>
      <c r="X265" s="102"/>
      <c r="Y265" s="102"/>
    </row>
    <row r="266" spans="1:25" x14ac:dyDescent="0.2">
      <c r="A266" s="225">
        <v>198</v>
      </c>
      <c r="B266" s="37"/>
      <c r="C266" s="10"/>
      <c r="D266" s="10" t="s">
        <v>163</v>
      </c>
      <c r="E266" s="19" t="s">
        <v>164</v>
      </c>
      <c r="F266" s="159" t="s">
        <v>155</v>
      </c>
      <c r="G266" s="321">
        <v>3125</v>
      </c>
      <c r="H266" s="268"/>
      <c r="I266" s="487"/>
      <c r="J266" s="491"/>
      <c r="K266" s="487"/>
      <c r="L266" s="491"/>
      <c r="M266" s="487"/>
      <c r="N266" s="487"/>
      <c r="O266" s="487"/>
      <c r="P266" s="487"/>
      <c r="Q266" s="237"/>
      <c r="R266" s="237"/>
      <c r="S266" s="237"/>
      <c r="T266" s="237"/>
      <c r="U266" s="102"/>
      <c r="V266" s="102"/>
      <c r="W266" s="102"/>
      <c r="X266" s="102"/>
      <c r="Y266" s="102"/>
    </row>
    <row r="267" spans="1:25" x14ac:dyDescent="0.2">
      <c r="A267" s="225">
        <v>199</v>
      </c>
      <c r="B267" s="37"/>
      <c r="C267" s="10"/>
      <c r="D267" s="10" t="s">
        <v>165</v>
      </c>
      <c r="E267" s="19" t="s">
        <v>166</v>
      </c>
      <c r="F267" s="159" t="s">
        <v>155</v>
      </c>
      <c r="G267" s="321">
        <v>2325</v>
      </c>
      <c r="H267" s="268"/>
      <c r="I267" s="487"/>
      <c r="J267" s="491"/>
      <c r="K267" s="487"/>
      <c r="L267" s="491"/>
      <c r="M267" s="487"/>
      <c r="N267" s="487"/>
      <c r="O267" s="487"/>
      <c r="P267" s="487"/>
      <c r="Q267" s="237"/>
      <c r="R267" s="237"/>
      <c r="S267" s="237"/>
      <c r="T267" s="237"/>
      <c r="U267" s="102"/>
      <c r="V267" s="102"/>
      <c r="W267" s="102"/>
      <c r="X267" s="102"/>
      <c r="Y267" s="102"/>
    </row>
    <row r="268" spans="1:25" x14ac:dyDescent="0.2">
      <c r="A268" s="225">
        <v>200</v>
      </c>
      <c r="B268" s="37"/>
      <c r="C268" s="10"/>
      <c r="D268" s="10" t="s">
        <v>167</v>
      </c>
      <c r="E268" s="19" t="s">
        <v>168</v>
      </c>
      <c r="F268" s="159" t="s">
        <v>155</v>
      </c>
      <c r="G268" s="321">
        <v>42750</v>
      </c>
      <c r="H268" s="268"/>
      <c r="I268" s="487"/>
      <c r="J268" s="491"/>
      <c r="K268" s="487"/>
      <c r="L268" s="491"/>
      <c r="M268" s="487"/>
      <c r="N268" s="487"/>
      <c r="O268" s="487"/>
      <c r="P268" s="487"/>
      <c r="Q268" s="237"/>
      <c r="R268" s="237"/>
      <c r="S268" s="237"/>
      <c r="T268" s="237"/>
      <c r="U268" s="102"/>
      <c r="V268" s="102"/>
      <c r="W268" s="102"/>
      <c r="X268" s="102"/>
      <c r="Y268" s="102"/>
    </row>
    <row r="269" spans="1:25" x14ac:dyDescent="0.2">
      <c r="A269" s="225">
        <v>201</v>
      </c>
      <c r="B269" s="37"/>
      <c r="C269" s="10"/>
      <c r="D269" s="10" t="s">
        <v>85</v>
      </c>
      <c r="E269" s="19" t="s">
        <v>86</v>
      </c>
      <c r="F269" s="159" t="s">
        <v>155</v>
      </c>
      <c r="G269" s="321">
        <v>22587.548749234847</v>
      </c>
      <c r="H269" s="268"/>
      <c r="I269" s="487"/>
      <c r="J269" s="491"/>
      <c r="K269" s="487"/>
      <c r="L269" s="491"/>
      <c r="M269" s="487"/>
      <c r="N269" s="487"/>
      <c r="O269" s="487"/>
      <c r="P269" s="487"/>
      <c r="Q269" s="237"/>
      <c r="R269" s="237"/>
      <c r="S269" s="237"/>
      <c r="T269" s="237"/>
      <c r="U269" s="102"/>
      <c r="V269" s="102"/>
      <c r="W269" s="102"/>
      <c r="X269" s="102"/>
      <c r="Y269" s="102"/>
    </row>
    <row r="270" spans="1:25" x14ac:dyDescent="0.2">
      <c r="A270" s="225">
        <v>202</v>
      </c>
      <c r="B270" s="37"/>
      <c r="C270" s="10"/>
      <c r="D270" s="10" t="s">
        <v>169</v>
      </c>
      <c r="E270" s="19" t="s">
        <v>170</v>
      </c>
      <c r="F270" s="159" t="s">
        <v>155</v>
      </c>
      <c r="G270" s="303">
        <f>+'KIPP Assumptions'!B$6*'KIPP Assumptions'!B$50</f>
        <v>20650</v>
      </c>
      <c r="H270" s="268" t="s">
        <v>477</v>
      </c>
      <c r="I270" s="487"/>
      <c r="J270" s="487"/>
      <c r="K270" s="487"/>
      <c r="L270" s="491"/>
      <c r="M270" s="487"/>
      <c r="N270" s="487"/>
      <c r="O270" s="487"/>
      <c r="P270" s="487"/>
      <c r="Q270" s="237"/>
      <c r="R270" s="237"/>
      <c r="S270" s="237"/>
      <c r="T270" s="237"/>
      <c r="U270" s="102"/>
      <c r="V270" s="102"/>
      <c r="W270" s="102"/>
      <c r="X270" s="102"/>
      <c r="Y270" s="102"/>
    </row>
    <row r="271" spans="1:25" x14ac:dyDescent="0.2">
      <c r="A271" s="225">
        <v>203</v>
      </c>
      <c r="B271" s="37"/>
      <c r="C271" s="10"/>
      <c r="D271" s="10" t="s">
        <v>171</v>
      </c>
      <c r="E271" s="19" t="s">
        <v>144</v>
      </c>
      <c r="F271" s="159" t="s">
        <v>155</v>
      </c>
      <c r="G271" s="321">
        <v>0</v>
      </c>
      <c r="H271" s="268"/>
      <c r="I271" s="487"/>
      <c r="J271" s="491"/>
      <c r="K271" s="487"/>
      <c r="L271" s="491"/>
      <c r="M271" s="487"/>
      <c r="N271" s="487"/>
      <c r="O271" s="487"/>
      <c r="P271" s="487"/>
      <c r="Q271" s="237"/>
      <c r="R271" s="237"/>
      <c r="S271" s="237"/>
      <c r="T271" s="237"/>
      <c r="U271" s="102"/>
      <c r="V271" s="102"/>
      <c r="W271" s="102"/>
      <c r="X271" s="102"/>
      <c r="Y271" s="102"/>
    </row>
    <row r="272" spans="1:25" x14ac:dyDescent="0.2">
      <c r="A272" s="225">
        <v>204</v>
      </c>
      <c r="B272" s="37"/>
      <c r="C272" s="10"/>
      <c r="D272" s="10" t="s">
        <v>248</v>
      </c>
      <c r="E272" s="19" t="s">
        <v>249</v>
      </c>
      <c r="F272" s="159" t="s">
        <v>155</v>
      </c>
      <c r="G272" s="321">
        <v>45000</v>
      </c>
      <c r="H272" s="268"/>
      <c r="I272" s="487"/>
      <c r="J272" s="491"/>
      <c r="K272" s="487"/>
      <c r="L272" s="491"/>
      <c r="M272" s="487"/>
      <c r="N272" s="487"/>
      <c r="O272" s="487"/>
      <c r="P272" s="487"/>
      <c r="Q272" s="237"/>
      <c r="R272" s="237"/>
      <c r="S272" s="237"/>
      <c r="T272" s="237"/>
      <c r="U272" s="102"/>
      <c r="V272" s="102"/>
      <c r="W272" s="102"/>
      <c r="X272" s="102"/>
      <c r="Y272" s="102"/>
    </row>
    <row r="273" spans="1:25" x14ac:dyDescent="0.2">
      <c r="A273" s="225">
        <v>205</v>
      </c>
      <c r="B273" s="37"/>
      <c r="C273" s="10" t="s">
        <v>172</v>
      </c>
      <c r="D273" s="10"/>
      <c r="E273" s="19" t="s">
        <v>251</v>
      </c>
      <c r="F273" s="159">
        <v>2630</v>
      </c>
      <c r="G273" s="321">
        <v>1375</v>
      </c>
      <c r="H273" s="268"/>
      <c r="I273" s="487"/>
      <c r="J273" s="491"/>
      <c r="K273" s="487"/>
      <c r="L273" s="491"/>
      <c r="M273" s="487"/>
      <c r="N273" s="487"/>
      <c r="O273" s="487"/>
      <c r="P273" s="487"/>
      <c r="Q273" s="237"/>
      <c r="R273" s="237"/>
      <c r="S273" s="237"/>
      <c r="T273" s="237"/>
      <c r="U273" s="102"/>
      <c r="V273" s="102"/>
      <c r="W273" s="102"/>
      <c r="X273" s="102"/>
      <c r="Y273" s="102"/>
    </row>
    <row r="274" spans="1:25" x14ac:dyDescent="0.2">
      <c r="A274" s="225">
        <v>206</v>
      </c>
      <c r="B274" s="37"/>
      <c r="C274" s="10" t="s">
        <v>173</v>
      </c>
      <c r="D274" s="10"/>
      <c r="E274" s="19" t="s">
        <v>251</v>
      </c>
      <c r="F274" s="159">
        <v>2640</v>
      </c>
      <c r="G274" s="321">
        <v>1250</v>
      </c>
      <c r="H274" s="268"/>
      <c r="I274" s="487"/>
      <c r="J274" s="491"/>
      <c r="K274" s="487"/>
      <c r="L274" s="491"/>
      <c r="M274" s="487"/>
      <c r="N274" s="487"/>
      <c r="O274" s="487"/>
      <c r="P274" s="487"/>
      <c r="Q274" s="237"/>
      <c r="R274" s="237"/>
      <c r="S274" s="237"/>
      <c r="T274" s="237"/>
      <c r="U274" s="102"/>
      <c r="V274" s="102"/>
      <c r="W274" s="102"/>
      <c r="X274" s="102"/>
      <c r="Y274" s="102"/>
    </row>
    <row r="275" spans="1:25" x14ac:dyDescent="0.2">
      <c r="A275" s="225">
        <v>207</v>
      </c>
      <c r="B275" s="37"/>
      <c r="C275" s="10" t="s">
        <v>174</v>
      </c>
      <c r="D275" s="10"/>
      <c r="E275" s="19" t="s">
        <v>221</v>
      </c>
      <c r="F275" s="159" t="s">
        <v>245</v>
      </c>
      <c r="G275" s="303">
        <v>0</v>
      </c>
      <c r="H275" s="268"/>
      <c r="I275" s="487"/>
      <c r="J275" s="487"/>
      <c r="K275" s="487"/>
      <c r="L275" s="491"/>
      <c r="M275" s="487"/>
      <c r="N275" s="487"/>
      <c r="O275" s="487"/>
      <c r="P275" s="487"/>
      <c r="Q275" s="237"/>
      <c r="R275" s="237"/>
      <c r="S275" s="237"/>
      <c r="T275" s="237"/>
      <c r="U275" s="102"/>
      <c r="V275" s="102"/>
      <c r="W275" s="102"/>
      <c r="X275" s="102"/>
      <c r="Y275" s="102"/>
    </row>
    <row r="276" spans="1:25" x14ac:dyDescent="0.2">
      <c r="A276" s="225">
        <v>208</v>
      </c>
      <c r="B276" s="37"/>
      <c r="C276" s="10" t="s">
        <v>295</v>
      </c>
      <c r="D276" s="10"/>
      <c r="E276" s="19" t="s">
        <v>97</v>
      </c>
      <c r="F276" s="159" t="s">
        <v>245</v>
      </c>
      <c r="G276" s="303">
        <f t="shared" ref="G276:G280" si="7">+SUM(G$256)*$I276</f>
        <v>0</v>
      </c>
      <c r="H276" s="268"/>
      <c r="I276" s="492">
        <f>'KIPP Assumptions'!$B$105+'KIPP Assumptions'!$B$106+'KIPP Assumptions'!$B$107+'KIPP Assumptions'!$B$108+'KIPP Assumptions'!$B$109</f>
        <v>7.0773334087038758E-2</v>
      </c>
      <c r="J276" s="487"/>
      <c r="K276" s="487"/>
      <c r="L276" s="491"/>
      <c r="M276" s="487"/>
      <c r="N276" s="487"/>
      <c r="O276" s="487"/>
      <c r="P276" s="487"/>
      <c r="Q276" s="237"/>
      <c r="R276" s="237"/>
      <c r="S276" s="237"/>
      <c r="T276" s="237"/>
      <c r="U276" s="102"/>
      <c r="V276" s="102"/>
      <c r="W276" s="102"/>
      <c r="X276" s="102"/>
      <c r="Y276" s="102"/>
    </row>
    <row r="277" spans="1:25" x14ac:dyDescent="0.2">
      <c r="A277" s="225">
        <v>209</v>
      </c>
      <c r="B277" s="37"/>
      <c r="C277" s="10" t="s">
        <v>98</v>
      </c>
      <c r="D277" s="10"/>
      <c r="E277" s="19" t="s">
        <v>99</v>
      </c>
      <c r="F277" s="159" t="s">
        <v>245</v>
      </c>
      <c r="G277" s="303">
        <f t="shared" si="7"/>
        <v>0</v>
      </c>
      <c r="H277" s="268"/>
      <c r="I277" s="492">
        <f>'KIPP Assumptions'!$B$111</f>
        <v>6.2E-2</v>
      </c>
      <c r="J277" s="487"/>
      <c r="K277" s="487"/>
      <c r="L277" s="491"/>
      <c r="M277" s="487"/>
      <c r="N277" s="487"/>
      <c r="O277" s="487"/>
      <c r="P277" s="487"/>
      <c r="Q277" s="237"/>
      <c r="R277" s="237"/>
      <c r="S277" s="237"/>
      <c r="T277" s="237"/>
      <c r="U277" s="102"/>
      <c r="V277" s="102"/>
      <c r="W277" s="102"/>
      <c r="X277" s="102"/>
      <c r="Y277" s="102"/>
    </row>
    <row r="278" spans="1:25" x14ac:dyDescent="0.2">
      <c r="A278" s="225">
        <v>210</v>
      </c>
      <c r="B278" s="37"/>
      <c r="C278" s="10" t="s">
        <v>100</v>
      </c>
      <c r="D278" s="10"/>
      <c r="E278" s="19" t="s">
        <v>101</v>
      </c>
      <c r="F278" s="159" t="s">
        <v>245</v>
      </c>
      <c r="G278" s="303">
        <f t="shared" si="7"/>
        <v>0</v>
      </c>
      <c r="H278" s="268"/>
      <c r="I278" s="492">
        <f>'KIPP Assumptions'!$B$110</f>
        <v>1.4500000000000001E-2</v>
      </c>
      <c r="J278" s="487"/>
      <c r="K278" s="487"/>
      <c r="L278" s="491"/>
      <c r="M278" s="487"/>
      <c r="N278" s="487"/>
      <c r="O278" s="487"/>
      <c r="P278" s="487"/>
      <c r="Q278" s="237"/>
      <c r="R278" s="237"/>
      <c r="S278" s="237"/>
      <c r="T278" s="237"/>
      <c r="U278" s="102"/>
      <c r="V278" s="102"/>
      <c r="W278" s="102"/>
      <c r="X278" s="102"/>
      <c r="Y278" s="102"/>
    </row>
    <row r="279" spans="1:25" x14ac:dyDescent="0.2">
      <c r="A279" s="225">
        <v>211</v>
      </c>
      <c r="B279" s="37"/>
      <c r="C279" s="10" t="s">
        <v>219</v>
      </c>
      <c r="D279" s="10"/>
      <c r="E279" s="19" t="s">
        <v>220</v>
      </c>
      <c r="F279" s="159" t="s">
        <v>245</v>
      </c>
      <c r="G279" s="303">
        <f t="shared" si="7"/>
        <v>0</v>
      </c>
      <c r="H279" s="268"/>
      <c r="I279" s="492">
        <f>+'KIPP Assumptions'!$B$113</f>
        <v>3.21290868212155E-2</v>
      </c>
      <c r="J279" s="487"/>
      <c r="K279" s="487"/>
      <c r="L279" s="491"/>
      <c r="M279" s="487"/>
      <c r="N279" s="487"/>
      <c r="O279" s="487"/>
      <c r="P279" s="487"/>
      <c r="Q279" s="237"/>
      <c r="R279" s="237"/>
      <c r="S279" s="237"/>
      <c r="T279" s="237"/>
      <c r="U279" s="102"/>
      <c r="V279" s="102"/>
      <c r="W279" s="102"/>
      <c r="X279" s="102"/>
      <c r="Y279" s="102"/>
    </row>
    <row r="280" spans="1:25" x14ac:dyDescent="0.2">
      <c r="A280" s="225">
        <v>212</v>
      </c>
      <c r="B280" s="37"/>
      <c r="C280" s="10" t="s">
        <v>102</v>
      </c>
      <c r="D280" s="10"/>
      <c r="E280" s="19" t="s">
        <v>103</v>
      </c>
      <c r="F280" s="159" t="s">
        <v>245</v>
      </c>
      <c r="G280" s="303">
        <f t="shared" si="7"/>
        <v>0</v>
      </c>
      <c r="H280" s="268"/>
      <c r="I280" s="492">
        <f>+'KIPP Assumptions'!$B$112</f>
        <v>1E-3</v>
      </c>
      <c r="J280" s="487"/>
      <c r="K280" s="487"/>
      <c r="L280" s="491"/>
      <c r="M280" s="487"/>
      <c r="N280" s="487"/>
      <c r="O280" s="487"/>
      <c r="P280" s="487"/>
      <c r="Q280" s="237"/>
      <c r="R280" s="237"/>
      <c r="S280" s="237"/>
      <c r="T280" s="237"/>
      <c r="U280" s="102"/>
      <c r="V280" s="102"/>
      <c r="W280" s="102"/>
      <c r="X280" s="102"/>
      <c r="Y280" s="102"/>
    </row>
    <row r="281" spans="1:25" x14ac:dyDescent="0.2">
      <c r="A281" s="225">
        <v>213</v>
      </c>
      <c r="B281" s="37"/>
      <c r="C281" s="10" t="s">
        <v>104</v>
      </c>
      <c r="D281" s="10"/>
      <c r="E281" s="19" t="s">
        <v>105</v>
      </c>
      <c r="F281" s="159" t="s">
        <v>245</v>
      </c>
      <c r="G281" s="303"/>
      <c r="H281" s="268"/>
      <c r="I281" s="487"/>
      <c r="J281" s="487"/>
      <c r="K281" s="487"/>
      <c r="L281" s="491"/>
      <c r="M281" s="487"/>
      <c r="N281" s="487"/>
      <c r="O281" s="487"/>
      <c r="P281" s="487"/>
      <c r="Q281" s="237"/>
      <c r="R281" s="237"/>
      <c r="S281" s="237"/>
      <c r="T281" s="237"/>
      <c r="U281" s="102"/>
      <c r="V281" s="102"/>
      <c r="W281" s="102"/>
      <c r="X281" s="102"/>
      <c r="Y281" s="102"/>
    </row>
    <row r="282" spans="1:25" x14ac:dyDescent="0.2">
      <c r="A282" s="225">
        <v>214</v>
      </c>
      <c r="B282" s="37"/>
      <c r="C282" s="86" t="s">
        <v>283</v>
      </c>
      <c r="D282" s="10"/>
      <c r="E282" s="19"/>
      <c r="F282" s="159"/>
      <c r="G282" s="303"/>
      <c r="H282" s="268"/>
      <c r="I282" s="487"/>
      <c r="J282" s="487"/>
      <c r="K282" s="487"/>
      <c r="L282" s="491"/>
      <c r="M282" s="487"/>
      <c r="N282" s="487"/>
      <c r="O282" s="487"/>
      <c r="P282" s="487"/>
      <c r="Q282" s="237"/>
      <c r="R282" s="237"/>
      <c r="S282" s="237"/>
      <c r="T282" s="237"/>
      <c r="U282" s="102"/>
      <c r="V282" s="102"/>
      <c r="W282" s="102"/>
      <c r="X282" s="102"/>
      <c r="Y282" s="102"/>
    </row>
    <row r="283" spans="1:25" x14ac:dyDescent="0.2">
      <c r="A283" s="225">
        <v>215</v>
      </c>
      <c r="B283" s="37"/>
      <c r="C283" s="86"/>
      <c r="D283" s="10"/>
      <c r="E283" s="19"/>
      <c r="F283" s="159"/>
      <c r="G283" s="303"/>
      <c r="H283" s="268"/>
      <c r="I283" s="487"/>
      <c r="J283" s="487"/>
      <c r="K283" s="487"/>
      <c r="L283" s="491"/>
      <c r="M283" s="487"/>
      <c r="N283" s="487"/>
      <c r="O283" s="487"/>
      <c r="P283" s="487"/>
      <c r="Q283" s="237"/>
      <c r="R283" s="237"/>
      <c r="S283" s="237"/>
      <c r="T283" s="237"/>
      <c r="U283" s="102"/>
      <c r="V283" s="102"/>
      <c r="W283" s="102"/>
      <c r="X283" s="102"/>
      <c r="Y283" s="102"/>
    </row>
    <row r="284" spans="1:25" x14ac:dyDescent="0.2">
      <c r="A284" s="225">
        <v>216</v>
      </c>
      <c r="B284" s="37"/>
      <c r="C284" s="10"/>
      <c r="D284" s="10"/>
      <c r="E284" s="19"/>
      <c r="F284" s="159"/>
      <c r="G284" s="303"/>
      <c r="H284" s="268"/>
      <c r="I284" s="487"/>
      <c r="J284" s="487"/>
      <c r="K284" s="487"/>
      <c r="L284" s="491"/>
      <c r="M284" s="487"/>
      <c r="N284" s="487"/>
      <c r="O284" s="487"/>
      <c r="P284" s="487"/>
      <c r="Q284" s="237"/>
      <c r="R284" s="237"/>
      <c r="S284" s="237"/>
      <c r="T284" s="237"/>
      <c r="U284" s="102"/>
      <c r="V284" s="102"/>
      <c r="W284" s="102"/>
      <c r="X284" s="102"/>
      <c r="Y284" s="102"/>
    </row>
    <row r="285" spans="1:25" ht="15" x14ac:dyDescent="0.25">
      <c r="A285" s="226">
        <v>217</v>
      </c>
      <c r="B285" s="88" t="s">
        <v>175</v>
      </c>
      <c r="C285" s="52"/>
      <c r="D285" s="52"/>
      <c r="E285" s="50"/>
      <c r="F285" s="163"/>
      <c r="G285" s="306">
        <f>SUM(G256:G284)</f>
        <v>182062.54874923485</v>
      </c>
      <c r="H285" s="271"/>
      <c r="I285" s="487"/>
      <c r="J285" s="487"/>
      <c r="K285" s="487"/>
      <c r="L285" s="491"/>
      <c r="M285" s="487"/>
      <c r="N285" s="487"/>
      <c r="O285" s="487"/>
      <c r="P285" s="487"/>
      <c r="Q285" s="237"/>
      <c r="R285" s="237"/>
      <c r="S285" s="237"/>
      <c r="T285" s="237"/>
      <c r="U285" s="102"/>
      <c r="V285" s="102"/>
      <c r="W285" s="102"/>
      <c r="X285" s="102"/>
      <c r="Y285" s="102"/>
    </row>
    <row r="286" spans="1:25" x14ac:dyDescent="0.2">
      <c r="A286" s="225"/>
      <c r="B286" s="37"/>
      <c r="C286" s="10"/>
      <c r="D286" s="10"/>
      <c r="E286" s="62"/>
      <c r="F286" s="158"/>
      <c r="G286" s="302"/>
      <c r="H286" s="267"/>
      <c r="I286" s="487"/>
      <c r="J286" s="487"/>
      <c r="K286" s="487"/>
      <c r="L286" s="491"/>
      <c r="M286" s="487"/>
      <c r="N286" s="487"/>
      <c r="O286" s="487"/>
      <c r="P286" s="487"/>
      <c r="Q286" s="237"/>
      <c r="R286" s="237"/>
      <c r="S286" s="237"/>
      <c r="T286" s="237"/>
      <c r="U286" s="102"/>
      <c r="V286" s="102"/>
      <c r="W286" s="102"/>
      <c r="X286" s="102"/>
      <c r="Y286" s="102"/>
    </row>
    <row r="287" spans="1:25" s="5" customFormat="1" ht="15" x14ac:dyDescent="0.25">
      <c r="A287" s="225"/>
      <c r="B287" s="89" t="s">
        <v>29</v>
      </c>
      <c r="C287" s="54"/>
      <c r="D287" s="54"/>
      <c r="E287" s="78"/>
      <c r="F287" s="170"/>
      <c r="G287" s="318"/>
      <c r="H287" s="286"/>
      <c r="I287" s="489"/>
      <c r="J287" s="489"/>
      <c r="K287" s="489"/>
      <c r="L287" s="491"/>
      <c r="M287" s="489"/>
      <c r="N287" s="489"/>
      <c r="O287" s="489"/>
      <c r="P287" s="489"/>
      <c r="Q287" s="244"/>
      <c r="R287" s="244"/>
      <c r="S287" s="244"/>
      <c r="T287" s="244"/>
      <c r="U287" s="240"/>
      <c r="V287" s="240"/>
      <c r="W287" s="240"/>
      <c r="X287" s="240"/>
      <c r="Y287" s="240"/>
    </row>
    <row r="288" spans="1:25" x14ac:dyDescent="0.2">
      <c r="A288" s="225">
        <v>218</v>
      </c>
      <c r="B288" s="37"/>
      <c r="C288" s="10" t="s">
        <v>83</v>
      </c>
      <c r="D288" s="10"/>
      <c r="E288" s="19" t="s">
        <v>246</v>
      </c>
      <c r="F288" s="159" t="s">
        <v>247</v>
      </c>
      <c r="G288" s="303"/>
      <c r="H288" s="268"/>
      <c r="I288" s="487"/>
      <c r="J288" s="487"/>
      <c r="K288" s="487"/>
      <c r="L288" s="491"/>
      <c r="M288" s="487"/>
      <c r="N288" s="487"/>
      <c r="O288" s="487"/>
      <c r="P288" s="487"/>
      <c r="Q288" s="237"/>
      <c r="R288" s="237"/>
      <c r="S288" s="237"/>
      <c r="T288" s="237"/>
      <c r="U288" s="102"/>
      <c r="V288" s="102"/>
      <c r="W288" s="102"/>
      <c r="X288" s="102"/>
      <c r="Y288" s="102"/>
    </row>
    <row r="289" spans="1:25" x14ac:dyDescent="0.2">
      <c r="A289" s="225"/>
      <c r="B289" s="37"/>
      <c r="C289" s="10" t="s">
        <v>176</v>
      </c>
      <c r="D289" s="10"/>
      <c r="E289" s="62"/>
      <c r="F289" s="158"/>
      <c r="G289" s="302"/>
      <c r="H289" s="267"/>
      <c r="I289" s="487"/>
      <c r="J289" s="487"/>
      <c r="K289" s="487"/>
      <c r="L289" s="491"/>
      <c r="M289" s="487"/>
      <c r="N289" s="487"/>
      <c r="O289" s="487"/>
      <c r="P289" s="487"/>
      <c r="Q289" s="237"/>
      <c r="R289" s="237"/>
      <c r="S289" s="237"/>
      <c r="T289" s="237"/>
      <c r="U289" s="102"/>
      <c r="V289" s="102"/>
      <c r="W289" s="102"/>
      <c r="X289" s="102"/>
      <c r="Y289" s="102"/>
    </row>
    <row r="290" spans="1:25" x14ac:dyDescent="0.2">
      <c r="A290" s="225">
        <v>219</v>
      </c>
      <c r="B290" s="37"/>
      <c r="C290" s="10" t="s">
        <v>33</v>
      </c>
      <c r="D290" s="10" t="s">
        <v>299</v>
      </c>
      <c r="E290" s="19" t="s">
        <v>222</v>
      </c>
      <c r="F290" s="159" t="s">
        <v>247</v>
      </c>
      <c r="G290" s="303">
        <v>0</v>
      </c>
      <c r="H290" s="268"/>
      <c r="I290" s="487"/>
      <c r="J290" s="487"/>
      <c r="K290" s="487"/>
      <c r="L290" s="491"/>
      <c r="M290" s="487"/>
      <c r="N290" s="487"/>
      <c r="O290" s="487"/>
      <c r="P290" s="487"/>
      <c r="Q290" s="237"/>
      <c r="R290" s="237"/>
      <c r="S290" s="237"/>
      <c r="T290" s="237"/>
      <c r="U290" s="102"/>
      <c r="V290" s="102"/>
      <c r="W290" s="102"/>
      <c r="X290" s="102"/>
      <c r="Y290" s="102"/>
    </row>
    <row r="291" spans="1:25" x14ac:dyDescent="0.2">
      <c r="A291" s="225">
        <v>220</v>
      </c>
      <c r="B291" s="37"/>
      <c r="C291" s="10"/>
      <c r="D291" s="10" t="s">
        <v>85</v>
      </c>
      <c r="E291" s="19" t="s">
        <v>86</v>
      </c>
      <c r="F291" s="159" t="s">
        <v>177</v>
      </c>
      <c r="G291" s="303">
        <v>0</v>
      </c>
      <c r="H291" s="268"/>
      <c r="I291" s="487"/>
      <c r="J291" s="487"/>
      <c r="K291" s="487"/>
      <c r="L291" s="491"/>
      <c r="M291" s="487"/>
      <c r="N291" s="499"/>
      <c r="O291" s="487"/>
      <c r="P291" s="487"/>
      <c r="Q291" s="237"/>
      <c r="R291" s="237"/>
      <c r="S291" s="237"/>
      <c r="T291" s="237"/>
      <c r="U291" s="102"/>
      <c r="V291" s="102"/>
      <c r="W291" s="102"/>
      <c r="X291" s="102"/>
      <c r="Y291" s="102"/>
    </row>
    <row r="292" spans="1:25" x14ac:dyDescent="0.2">
      <c r="A292" s="225">
        <v>221</v>
      </c>
      <c r="B292" s="37"/>
      <c r="C292" s="10"/>
      <c r="D292" s="10" t="s">
        <v>178</v>
      </c>
      <c r="E292" s="19" t="s">
        <v>179</v>
      </c>
      <c r="F292" s="159" t="s">
        <v>177</v>
      </c>
      <c r="G292" s="303">
        <v>184090.90909090912</v>
      </c>
      <c r="H292" s="268" t="s">
        <v>429</v>
      </c>
      <c r="I292" s="487"/>
      <c r="J292" s="491"/>
      <c r="K292" s="487"/>
      <c r="L292" s="491"/>
      <c r="M292" s="487"/>
      <c r="N292" s="491"/>
      <c r="O292" s="487"/>
      <c r="P292" s="487"/>
      <c r="Q292" s="237"/>
      <c r="R292" s="237"/>
      <c r="S292" s="237"/>
      <c r="T292" s="237"/>
      <c r="U292" s="102"/>
      <c r="V292" s="102"/>
      <c r="W292" s="102"/>
      <c r="X292" s="102"/>
      <c r="Y292" s="102"/>
    </row>
    <row r="293" spans="1:25" x14ac:dyDescent="0.2">
      <c r="A293" s="225">
        <v>222</v>
      </c>
      <c r="B293" s="37"/>
      <c r="C293" s="10"/>
      <c r="D293" s="10" t="s">
        <v>113</v>
      </c>
      <c r="E293" s="19" t="s">
        <v>114</v>
      </c>
      <c r="F293" s="159" t="s">
        <v>177</v>
      </c>
      <c r="G293" s="303">
        <v>0</v>
      </c>
      <c r="H293" s="268"/>
      <c r="I293" s="487"/>
      <c r="J293" s="487"/>
      <c r="K293" s="487"/>
      <c r="L293" s="491"/>
      <c r="M293" s="487"/>
      <c r="N293" s="491"/>
      <c r="O293" s="487"/>
      <c r="P293" s="487"/>
      <c r="Q293" s="237"/>
      <c r="R293" s="237"/>
      <c r="S293" s="237"/>
      <c r="T293" s="237"/>
      <c r="U293" s="102"/>
      <c r="V293" s="102"/>
      <c r="W293" s="102"/>
      <c r="X293" s="102"/>
      <c r="Y293" s="102"/>
    </row>
    <row r="294" spans="1:25" x14ac:dyDescent="0.2">
      <c r="A294" s="225">
        <v>223</v>
      </c>
      <c r="B294" s="37"/>
      <c r="C294" s="10"/>
      <c r="D294" s="10" t="s">
        <v>110</v>
      </c>
      <c r="E294" s="19" t="s">
        <v>90</v>
      </c>
      <c r="F294" s="159" t="s">
        <v>177</v>
      </c>
      <c r="G294" s="303">
        <v>0</v>
      </c>
      <c r="H294" s="268"/>
      <c r="I294" s="487"/>
      <c r="J294" s="487"/>
      <c r="K294" s="487"/>
      <c r="L294" s="491"/>
      <c r="O294" s="487"/>
      <c r="P294" s="487"/>
      <c r="Q294" s="237"/>
      <c r="R294" s="237"/>
      <c r="S294" s="237"/>
      <c r="T294" s="237"/>
      <c r="U294" s="102"/>
      <c r="V294" s="102"/>
      <c r="W294" s="102"/>
      <c r="X294" s="102"/>
      <c r="Y294" s="102"/>
    </row>
    <row r="295" spans="1:25" x14ac:dyDescent="0.2">
      <c r="A295" s="225">
        <v>224</v>
      </c>
      <c r="B295" s="37"/>
      <c r="C295" s="10"/>
      <c r="D295" s="10" t="s">
        <v>180</v>
      </c>
      <c r="E295" s="19" t="s">
        <v>115</v>
      </c>
      <c r="F295" s="159" t="s">
        <v>177</v>
      </c>
      <c r="G295" s="303">
        <v>0</v>
      </c>
      <c r="H295" s="268"/>
      <c r="I295" s="487"/>
      <c r="J295" s="487"/>
      <c r="K295" s="487"/>
      <c r="L295" s="491"/>
      <c r="M295" s="487"/>
      <c r="N295" s="491"/>
      <c r="O295" s="487"/>
      <c r="P295" s="487"/>
      <c r="Q295" s="237"/>
      <c r="R295" s="237"/>
      <c r="S295" s="237"/>
      <c r="T295" s="237"/>
      <c r="U295" s="102"/>
      <c r="V295" s="102"/>
      <c r="W295" s="102"/>
      <c r="X295" s="102"/>
      <c r="Y295" s="102"/>
    </row>
    <row r="296" spans="1:25" x14ac:dyDescent="0.2">
      <c r="A296" s="225">
        <v>225</v>
      </c>
      <c r="B296" s="37"/>
      <c r="C296" s="10"/>
      <c r="D296" s="10" t="s">
        <v>93</v>
      </c>
      <c r="E296" s="19" t="s">
        <v>94</v>
      </c>
      <c r="F296" s="159" t="s">
        <v>177</v>
      </c>
      <c r="G296" s="303">
        <v>0</v>
      </c>
      <c r="H296" s="268"/>
      <c r="I296" s="487"/>
      <c r="J296" s="487"/>
      <c r="K296" s="487"/>
      <c r="L296" s="491"/>
      <c r="M296" s="487"/>
      <c r="N296" s="491"/>
      <c r="O296" s="487"/>
      <c r="P296" s="487"/>
      <c r="Q296" s="237"/>
      <c r="R296" s="237"/>
      <c r="S296" s="237"/>
      <c r="T296" s="237"/>
      <c r="U296" s="102"/>
      <c r="V296" s="102"/>
      <c r="W296" s="102"/>
      <c r="X296" s="102"/>
      <c r="Y296" s="102"/>
    </row>
    <row r="297" spans="1:25" x14ac:dyDescent="0.2">
      <c r="A297" s="225">
        <v>226</v>
      </c>
      <c r="B297" s="37"/>
      <c r="C297" s="10"/>
      <c r="D297" s="10" t="s">
        <v>95</v>
      </c>
      <c r="E297" s="19" t="s">
        <v>96</v>
      </c>
      <c r="F297" s="159" t="s">
        <v>177</v>
      </c>
      <c r="G297" s="303">
        <v>0</v>
      </c>
      <c r="H297" s="268"/>
      <c r="I297" s="487"/>
      <c r="J297" s="487"/>
      <c r="K297" s="487"/>
      <c r="L297" s="491"/>
      <c r="M297" s="487"/>
      <c r="N297" s="491"/>
      <c r="O297" s="487"/>
      <c r="P297" s="487"/>
      <c r="Q297" s="237"/>
      <c r="R297" s="237"/>
      <c r="S297" s="237"/>
      <c r="T297" s="237"/>
      <c r="U297" s="102"/>
      <c r="V297" s="102"/>
      <c r="W297" s="102"/>
      <c r="X297" s="102"/>
      <c r="Y297" s="102"/>
    </row>
    <row r="298" spans="1:25" x14ac:dyDescent="0.2">
      <c r="A298" s="225">
        <v>227</v>
      </c>
      <c r="B298" s="37"/>
      <c r="C298" s="10"/>
      <c r="D298" s="10" t="s">
        <v>295</v>
      </c>
      <c r="E298" s="19" t="s">
        <v>97</v>
      </c>
      <c r="F298" s="159" t="s">
        <v>247</v>
      </c>
      <c r="G298" s="303">
        <v>0</v>
      </c>
      <c r="H298" s="268"/>
      <c r="I298" s="487"/>
      <c r="J298" s="487"/>
      <c r="K298" s="487"/>
      <c r="L298" s="491"/>
      <c r="O298" s="487"/>
      <c r="P298" s="487"/>
      <c r="Q298" s="237"/>
      <c r="R298" s="237"/>
      <c r="S298" s="237"/>
      <c r="T298" s="237"/>
      <c r="U298" s="102"/>
      <c r="V298" s="102"/>
      <c r="W298" s="102"/>
      <c r="X298" s="102"/>
      <c r="Y298" s="102"/>
    </row>
    <row r="299" spans="1:25" x14ac:dyDescent="0.2">
      <c r="A299" s="225">
        <v>228</v>
      </c>
      <c r="B299" s="37"/>
      <c r="C299" s="10"/>
      <c r="D299" s="10" t="s">
        <v>98</v>
      </c>
      <c r="E299" s="19" t="s">
        <v>99</v>
      </c>
      <c r="F299" s="159" t="s">
        <v>247</v>
      </c>
      <c r="G299" s="303">
        <v>0</v>
      </c>
      <c r="H299" s="268"/>
      <c r="I299" s="487"/>
      <c r="J299" s="487"/>
      <c r="K299" s="487"/>
      <c r="L299" s="491"/>
      <c r="O299" s="487"/>
      <c r="P299" s="487"/>
      <c r="Q299" s="237"/>
      <c r="R299" s="237"/>
      <c r="S299" s="237"/>
      <c r="T299" s="237"/>
      <c r="U299" s="102"/>
      <c r="V299" s="102"/>
      <c r="W299" s="102"/>
      <c r="X299" s="102"/>
      <c r="Y299" s="102"/>
    </row>
    <row r="300" spans="1:25" x14ac:dyDescent="0.2">
      <c r="A300" s="225">
        <v>229</v>
      </c>
      <c r="B300" s="37"/>
      <c r="C300" s="10"/>
      <c r="D300" s="10" t="s">
        <v>100</v>
      </c>
      <c r="E300" s="19" t="s">
        <v>101</v>
      </c>
      <c r="F300" s="159" t="s">
        <v>247</v>
      </c>
      <c r="G300" s="303">
        <v>0</v>
      </c>
      <c r="H300" s="268"/>
      <c r="I300" s="487"/>
      <c r="J300" s="487"/>
      <c r="K300" s="487"/>
      <c r="L300" s="491"/>
      <c r="M300" s="487"/>
      <c r="N300" s="491"/>
      <c r="O300" s="487"/>
      <c r="P300" s="487"/>
      <c r="Q300" s="237"/>
      <c r="R300" s="237"/>
      <c r="S300" s="237"/>
      <c r="T300" s="237"/>
      <c r="U300" s="102"/>
      <c r="V300" s="102"/>
      <c r="W300" s="102"/>
      <c r="X300" s="102"/>
      <c r="Y300" s="102"/>
    </row>
    <row r="301" spans="1:25" x14ac:dyDescent="0.2">
      <c r="A301" s="225">
        <v>230</v>
      </c>
      <c r="B301" s="37"/>
      <c r="C301" s="10"/>
      <c r="D301" s="10" t="s">
        <v>219</v>
      </c>
      <c r="E301" s="19" t="s">
        <v>220</v>
      </c>
      <c r="F301" s="159" t="s">
        <v>247</v>
      </c>
      <c r="G301" s="303">
        <v>0</v>
      </c>
      <c r="H301" s="268"/>
      <c r="I301" s="487"/>
      <c r="J301" s="487"/>
      <c r="K301" s="487"/>
      <c r="L301" s="491"/>
      <c r="O301" s="487"/>
      <c r="P301" s="487"/>
      <c r="Q301" s="237"/>
      <c r="R301" s="237"/>
      <c r="S301" s="237"/>
      <c r="T301" s="237"/>
      <c r="U301" s="102"/>
      <c r="V301" s="102"/>
      <c r="W301" s="102"/>
      <c r="X301" s="102"/>
      <c r="Y301" s="102"/>
    </row>
    <row r="302" spans="1:25" x14ac:dyDescent="0.2">
      <c r="A302" s="225">
        <v>231</v>
      </c>
      <c r="B302" s="37"/>
      <c r="C302" s="10"/>
      <c r="D302" s="10" t="s">
        <v>102</v>
      </c>
      <c r="E302" s="19" t="s">
        <v>103</v>
      </c>
      <c r="F302" s="159" t="s">
        <v>247</v>
      </c>
      <c r="G302" s="303">
        <v>0</v>
      </c>
      <c r="H302" s="268"/>
      <c r="I302" s="487"/>
      <c r="J302" s="487"/>
      <c r="K302" s="487"/>
      <c r="L302" s="491"/>
      <c r="O302" s="487"/>
      <c r="P302" s="487"/>
      <c r="Q302" s="237"/>
      <c r="R302" s="237"/>
      <c r="S302" s="237"/>
      <c r="T302" s="237"/>
      <c r="U302" s="102"/>
      <c r="V302" s="102"/>
      <c r="W302" s="102"/>
      <c r="X302" s="102"/>
      <c r="Y302" s="102"/>
    </row>
    <row r="303" spans="1:25" x14ac:dyDescent="0.2">
      <c r="A303" s="225">
        <v>232</v>
      </c>
      <c r="B303" s="37"/>
      <c r="C303" s="10"/>
      <c r="D303" s="10" t="s">
        <v>104</v>
      </c>
      <c r="E303" s="19" t="s">
        <v>105</v>
      </c>
      <c r="F303" s="159" t="s">
        <v>247</v>
      </c>
      <c r="G303" s="303">
        <v>0</v>
      </c>
      <c r="H303" s="268"/>
      <c r="I303" s="487"/>
      <c r="J303" s="487"/>
      <c r="K303" s="487"/>
      <c r="L303" s="491"/>
      <c r="M303" s="487"/>
      <c r="N303" s="487"/>
      <c r="O303" s="487"/>
      <c r="P303" s="487"/>
      <c r="Q303" s="237"/>
      <c r="R303" s="237"/>
      <c r="S303" s="237"/>
      <c r="T303" s="237"/>
      <c r="U303" s="102"/>
      <c r="V303" s="102"/>
      <c r="W303" s="102"/>
      <c r="X303" s="102"/>
      <c r="Y303" s="102"/>
    </row>
    <row r="304" spans="1:25" x14ac:dyDescent="0.2">
      <c r="A304" s="225">
        <v>233</v>
      </c>
      <c r="B304" s="37"/>
      <c r="C304" s="86" t="s">
        <v>283</v>
      </c>
      <c r="D304" s="10"/>
      <c r="E304" s="19"/>
      <c r="F304" s="159"/>
      <c r="G304" s="303"/>
      <c r="H304" s="268"/>
      <c r="I304" s="487"/>
      <c r="J304" s="487"/>
      <c r="K304" s="487"/>
      <c r="L304" s="491"/>
      <c r="M304" s="487"/>
      <c r="N304" s="487"/>
      <c r="O304" s="487"/>
      <c r="P304" s="487"/>
      <c r="Q304" s="237"/>
      <c r="R304" s="237"/>
      <c r="S304" s="237"/>
      <c r="T304" s="237"/>
      <c r="U304" s="102"/>
      <c r="V304" s="102"/>
      <c r="W304" s="102"/>
      <c r="X304" s="102"/>
      <c r="Y304" s="102"/>
    </row>
    <row r="305" spans="1:25" x14ac:dyDescent="0.2">
      <c r="A305" s="225">
        <v>234</v>
      </c>
      <c r="B305" s="37"/>
      <c r="C305" s="86"/>
      <c r="D305" s="10"/>
      <c r="E305" s="19"/>
      <c r="F305" s="159"/>
      <c r="G305" s="303"/>
      <c r="H305" s="268"/>
      <c r="I305" s="487"/>
      <c r="J305" s="487"/>
      <c r="K305" s="487"/>
      <c r="L305" s="491"/>
      <c r="M305" s="487"/>
      <c r="N305" s="487"/>
      <c r="O305" s="487"/>
      <c r="P305" s="487"/>
      <c r="Q305" s="237"/>
      <c r="R305" s="237"/>
      <c r="S305" s="237"/>
      <c r="T305" s="237"/>
      <c r="U305" s="102"/>
      <c r="V305" s="102"/>
      <c r="W305" s="102"/>
      <c r="X305" s="102"/>
      <c r="Y305" s="102"/>
    </row>
    <row r="306" spans="1:25" x14ac:dyDescent="0.2">
      <c r="A306" s="225">
        <v>235</v>
      </c>
      <c r="B306" s="84"/>
      <c r="D306" s="14"/>
      <c r="E306" s="15"/>
      <c r="F306" s="167"/>
      <c r="G306" s="315"/>
      <c r="H306" s="283"/>
      <c r="I306" s="487"/>
      <c r="J306" s="487"/>
      <c r="K306" s="487"/>
      <c r="L306" s="491"/>
      <c r="M306" s="487"/>
      <c r="N306" s="487"/>
      <c r="O306" s="487"/>
      <c r="P306" s="487"/>
      <c r="Q306" s="237"/>
      <c r="R306" s="237"/>
      <c r="S306" s="237"/>
      <c r="T306" s="237"/>
      <c r="U306" s="102"/>
      <c r="V306" s="102"/>
      <c r="W306" s="102"/>
      <c r="X306" s="102"/>
      <c r="Y306" s="102"/>
    </row>
    <row r="307" spans="1:25" ht="15" x14ac:dyDescent="0.25">
      <c r="A307" s="226">
        <v>236</v>
      </c>
      <c r="B307" s="88" t="s">
        <v>181</v>
      </c>
      <c r="C307" s="52"/>
      <c r="D307" s="52"/>
      <c r="E307" s="50"/>
      <c r="F307" s="163"/>
      <c r="G307" s="306">
        <f>SUM(G288:G306)</f>
        <v>184090.90909090912</v>
      </c>
      <c r="H307" s="271"/>
      <c r="I307" s="487"/>
      <c r="J307" s="487"/>
      <c r="K307" s="487"/>
      <c r="L307" s="491"/>
      <c r="M307" s="487"/>
      <c r="N307" s="487"/>
      <c r="O307" s="487"/>
      <c r="P307" s="487"/>
      <c r="Q307" s="237"/>
      <c r="R307" s="237"/>
      <c r="S307" s="237"/>
      <c r="T307" s="237"/>
      <c r="U307" s="102"/>
      <c r="V307" s="102"/>
      <c r="W307" s="102"/>
      <c r="X307" s="102"/>
      <c r="Y307" s="102"/>
    </row>
    <row r="308" spans="1:25" x14ac:dyDescent="0.2">
      <c r="A308" s="225"/>
      <c r="B308" s="36"/>
      <c r="C308" s="13"/>
      <c r="D308" s="13"/>
      <c r="E308" s="72"/>
      <c r="F308" s="157"/>
      <c r="G308" s="301"/>
      <c r="H308" s="266"/>
      <c r="I308" s="487"/>
      <c r="J308" s="487"/>
      <c r="K308" s="487"/>
      <c r="L308" s="491"/>
      <c r="M308" s="487"/>
      <c r="N308" s="487"/>
      <c r="O308" s="487"/>
      <c r="P308" s="487"/>
      <c r="Q308" s="237"/>
      <c r="R308" s="237"/>
      <c r="S308" s="237"/>
      <c r="T308" s="237"/>
      <c r="U308" s="102"/>
      <c r="V308" s="102"/>
      <c r="W308" s="102"/>
      <c r="X308" s="102"/>
      <c r="Y308" s="102"/>
    </row>
    <row r="309" spans="1:25" s="5" customFormat="1" ht="15" x14ac:dyDescent="0.25">
      <c r="A309" s="225"/>
      <c r="B309" s="89" t="s">
        <v>30</v>
      </c>
      <c r="C309" s="54"/>
      <c r="D309" s="54"/>
      <c r="E309" s="78"/>
      <c r="F309" s="170"/>
      <c r="G309" s="318"/>
      <c r="H309" s="286"/>
      <c r="I309" s="489"/>
      <c r="J309" s="489"/>
      <c r="K309" s="489"/>
      <c r="L309" s="491"/>
      <c r="M309" s="489"/>
      <c r="N309" s="489"/>
      <c r="O309" s="489"/>
      <c r="P309" s="489"/>
      <c r="Q309" s="244"/>
      <c r="R309" s="244"/>
      <c r="S309" s="244"/>
      <c r="T309" s="244"/>
      <c r="U309" s="240"/>
      <c r="V309" s="240"/>
      <c r="W309" s="240"/>
      <c r="X309" s="240"/>
      <c r="Y309" s="240"/>
    </row>
    <row r="310" spans="1:25" ht="15" x14ac:dyDescent="0.25">
      <c r="A310" s="225"/>
      <c r="B310" s="37"/>
      <c r="C310" s="107" t="s">
        <v>9</v>
      </c>
      <c r="D310" s="10"/>
      <c r="E310" s="78"/>
      <c r="F310" s="170"/>
      <c r="G310" s="318"/>
      <c r="H310" s="286"/>
      <c r="I310" s="487"/>
      <c r="J310" s="487"/>
      <c r="K310" s="487"/>
      <c r="L310" s="491"/>
      <c r="M310" s="487"/>
      <c r="N310" s="487"/>
      <c r="O310" s="487"/>
      <c r="P310" s="487"/>
      <c r="Q310" s="237"/>
      <c r="R310" s="237"/>
      <c r="S310" s="237"/>
      <c r="T310" s="237"/>
      <c r="U310" s="102"/>
      <c r="V310" s="102"/>
      <c r="W310" s="102"/>
      <c r="X310" s="102"/>
      <c r="Y310" s="102"/>
    </row>
    <row r="311" spans="1:25" x14ac:dyDescent="0.2">
      <c r="A311" s="225">
        <v>237</v>
      </c>
      <c r="B311" s="37"/>
      <c r="C311" s="10"/>
      <c r="D311" s="10" t="s">
        <v>83</v>
      </c>
      <c r="E311" s="19" t="s">
        <v>84</v>
      </c>
      <c r="F311" s="159" t="s">
        <v>226</v>
      </c>
      <c r="G311" s="303">
        <v>13500</v>
      </c>
      <c r="H311" s="268" t="s">
        <v>426</v>
      </c>
      <c r="I311" s="487"/>
      <c r="J311" s="491"/>
      <c r="K311" s="487"/>
      <c r="L311" s="491"/>
      <c r="M311" s="487"/>
      <c r="N311" s="487"/>
      <c r="O311" s="487"/>
      <c r="P311" s="487"/>
      <c r="Q311" s="237"/>
      <c r="R311" s="237"/>
      <c r="S311" s="237"/>
      <c r="T311" s="237"/>
      <c r="U311" s="102"/>
      <c r="V311" s="102"/>
      <c r="W311" s="102"/>
      <c r="X311" s="102"/>
      <c r="Y311" s="102"/>
    </row>
    <row r="312" spans="1:25" x14ac:dyDescent="0.2">
      <c r="A312" s="225">
        <v>238</v>
      </c>
      <c r="B312" s="37"/>
      <c r="C312" s="10"/>
      <c r="D312" s="10" t="s">
        <v>184</v>
      </c>
      <c r="E312" s="19" t="s">
        <v>185</v>
      </c>
      <c r="F312" s="159">
        <v>2830</v>
      </c>
      <c r="G312" s="303">
        <v>450.00000000000006</v>
      </c>
      <c r="H312" s="268"/>
      <c r="I312" s="487"/>
      <c r="J312" s="491"/>
      <c r="K312" s="487"/>
      <c r="L312" s="491"/>
      <c r="M312" s="487"/>
      <c r="N312" s="487"/>
      <c r="O312" s="487"/>
      <c r="P312" s="487"/>
      <c r="Q312" s="237"/>
      <c r="R312" s="237"/>
      <c r="S312" s="237"/>
      <c r="T312" s="237"/>
      <c r="U312" s="102"/>
      <c r="V312" s="102"/>
      <c r="W312" s="102"/>
      <c r="X312" s="102"/>
      <c r="Y312" s="102"/>
    </row>
    <row r="313" spans="1:25" x14ac:dyDescent="0.2">
      <c r="A313" s="225">
        <v>239</v>
      </c>
      <c r="B313" s="37"/>
      <c r="C313" s="10"/>
      <c r="D313" s="10" t="s">
        <v>131</v>
      </c>
      <c r="E313" s="19" t="s">
        <v>132</v>
      </c>
      <c r="F313" s="159" t="s">
        <v>183</v>
      </c>
      <c r="G313" s="303"/>
      <c r="H313" s="268"/>
      <c r="I313" s="487"/>
      <c r="J313" s="487"/>
      <c r="K313" s="487"/>
      <c r="L313" s="491"/>
      <c r="M313" s="487"/>
      <c r="N313" s="487"/>
      <c r="O313" s="487"/>
      <c r="P313" s="487"/>
      <c r="Q313" s="237"/>
      <c r="R313" s="237"/>
      <c r="S313" s="237"/>
      <c r="T313" s="237"/>
      <c r="U313" s="102"/>
      <c r="V313" s="102"/>
      <c r="W313" s="102"/>
      <c r="X313" s="102"/>
      <c r="Y313" s="102"/>
    </row>
    <row r="314" spans="1:25" x14ac:dyDescent="0.2">
      <c r="A314" s="225">
        <v>240</v>
      </c>
      <c r="B314" s="37"/>
      <c r="C314" s="10" t="s">
        <v>186</v>
      </c>
      <c r="D314" s="10"/>
      <c r="E314" s="105" t="s">
        <v>221</v>
      </c>
      <c r="F314" s="173" t="s">
        <v>226</v>
      </c>
      <c r="G314" s="321"/>
      <c r="H314" s="290"/>
      <c r="I314" s="487"/>
      <c r="J314" s="487"/>
      <c r="K314" s="487"/>
      <c r="L314" s="491"/>
      <c r="M314" s="487"/>
      <c r="N314" s="487"/>
      <c r="O314" s="487"/>
      <c r="P314" s="487"/>
      <c r="Q314" s="237"/>
      <c r="R314" s="237"/>
      <c r="S314" s="237"/>
      <c r="T314" s="237"/>
      <c r="U314" s="102"/>
      <c r="V314" s="102"/>
      <c r="W314" s="102"/>
      <c r="X314" s="102"/>
      <c r="Y314" s="102"/>
    </row>
    <row r="315" spans="1:25" x14ac:dyDescent="0.2">
      <c r="A315" s="225">
        <v>241</v>
      </c>
      <c r="B315" s="37"/>
      <c r="C315" s="10" t="s">
        <v>295</v>
      </c>
      <c r="D315" s="10"/>
      <c r="E315" s="19" t="s">
        <v>97</v>
      </c>
      <c r="F315" s="159" t="s">
        <v>226</v>
      </c>
      <c r="G315" s="303"/>
      <c r="H315" s="268"/>
      <c r="I315" s="487"/>
      <c r="J315" s="487"/>
      <c r="K315" s="487"/>
      <c r="L315" s="491"/>
      <c r="M315" s="487"/>
      <c r="N315" s="487"/>
      <c r="O315" s="487"/>
      <c r="P315" s="487"/>
      <c r="Q315" s="237"/>
      <c r="R315" s="237"/>
      <c r="S315" s="237"/>
      <c r="T315" s="237"/>
      <c r="U315" s="102"/>
      <c r="V315" s="102"/>
      <c r="W315" s="102"/>
      <c r="X315" s="102"/>
      <c r="Y315" s="102"/>
    </row>
    <row r="316" spans="1:25" x14ac:dyDescent="0.2">
      <c r="A316" s="225">
        <v>242</v>
      </c>
      <c r="B316" s="37"/>
      <c r="C316" s="10" t="s">
        <v>98</v>
      </c>
      <c r="D316" s="10"/>
      <c r="E316" s="19" t="s">
        <v>99</v>
      </c>
      <c r="F316" s="159" t="s">
        <v>226</v>
      </c>
      <c r="G316" s="303"/>
      <c r="H316" s="268"/>
      <c r="I316" s="487"/>
      <c r="J316" s="487"/>
      <c r="K316" s="487"/>
      <c r="L316" s="491"/>
      <c r="M316" s="487"/>
      <c r="N316" s="487"/>
      <c r="O316" s="487"/>
      <c r="P316" s="487"/>
      <c r="Q316" s="237"/>
      <c r="R316" s="237"/>
      <c r="S316" s="237"/>
      <c r="T316" s="237"/>
      <c r="U316" s="102"/>
      <c r="V316" s="102"/>
      <c r="W316" s="102"/>
      <c r="X316" s="102"/>
      <c r="Y316" s="102"/>
    </row>
    <row r="317" spans="1:25" x14ac:dyDescent="0.2">
      <c r="A317" s="225">
        <v>243</v>
      </c>
      <c r="B317" s="37"/>
      <c r="C317" s="10" t="s">
        <v>100</v>
      </c>
      <c r="D317" s="10"/>
      <c r="E317" s="19" t="s">
        <v>101</v>
      </c>
      <c r="F317" s="159" t="s">
        <v>226</v>
      </c>
      <c r="G317" s="303"/>
      <c r="H317" s="268"/>
      <c r="I317" s="487"/>
      <c r="J317" s="487"/>
      <c r="K317" s="487"/>
      <c r="L317" s="491"/>
      <c r="M317" s="487"/>
      <c r="N317" s="487"/>
      <c r="O317" s="487"/>
      <c r="P317" s="487"/>
      <c r="Q317" s="237"/>
      <c r="R317" s="237"/>
      <c r="S317" s="237"/>
      <c r="T317" s="237"/>
      <c r="U317" s="102"/>
      <c r="V317" s="102"/>
      <c r="W317" s="102"/>
      <c r="X317" s="102"/>
      <c r="Y317" s="102"/>
    </row>
    <row r="318" spans="1:25" x14ac:dyDescent="0.2">
      <c r="A318" s="225">
        <v>244</v>
      </c>
      <c r="B318" s="37"/>
      <c r="C318" s="10" t="s">
        <v>219</v>
      </c>
      <c r="D318" s="10"/>
      <c r="E318" s="19" t="s">
        <v>220</v>
      </c>
      <c r="F318" s="159" t="s">
        <v>226</v>
      </c>
      <c r="G318" s="303"/>
      <c r="H318" s="268"/>
      <c r="I318" s="487"/>
      <c r="J318" s="487"/>
      <c r="K318" s="487"/>
      <c r="L318" s="491"/>
      <c r="M318" s="487"/>
      <c r="N318" s="487"/>
      <c r="O318" s="487"/>
      <c r="P318" s="487"/>
      <c r="Q318" s="237"/>
      <c r="R318" s="237"/>
      <c r="S318" s="237"/>
      <c r="T318" s="237"/>
      <c r="U318" s="102"/>
      <c r="V318" s="102"/>
      <c r="W318" s="102"/>
      <c r="X318" s="102"/>
      <c r="Y318" s="102"/>
    </row>
    <row r="319" spans="1:25" x14ac:dyDescent="0.2">
      <c r="A319" s="225">
        <v>245</v>
      </c>
      <c r="B319" s="37"/>
      <c r="C319" s="10" t="s">
        <v>102</v>
      </c>
      <c r="D319" s="10"/>
      <c r="E319" s="19" t="s">
        <v>103</v>
      </c>
      <c r="F319" s="159" t="s">
        <v>226</v>
      </c>
      <c r="G319" s="303"/>
      <c r="H319" s="268"/>
      <c r="I319" s="487"/>
      <c r="J319" s="487"/>
      <c r="K319" s="487"/>
      <c r="L319" s="491"/>
      <c r="M319" s="487"/>
      <c r="N319" s="487"/>
      <c r="O319" s="487"/>
      <c r="P319" s="487"/>
      <c r="Q319" s="237"/>
      <c r="R319" s="237"/>
      <c r="S319" s="237"/>
      <c r="T319" s="237"/>
      <c r="U319" s="102"/>
      <c r="V319" s="102"/>
      <c r="W319" s="102"/>
      <c r="X319" s="102"/>
      <c r="Y319" s="102"/>
    </row>
    <row r="320" spans="1:25" x14ac:dyDescent="0.2">
      <c r="A320" s="225">
        <v>246</v>
      </c>
      <c r="B320" s="37"/>
      <c r="C320" s="10" t="s">
        <v>104</v>
      </c>
      <c r="D320" s="10"/>
      <c r="E320" s="19" t="s">
        <v>105</v>
      </c>
      <c r="F320" s="159" t="s">
        <v>226</v>
      </c>
      <c r="G320" s="303"/>
      <c r="H320" s="268"/>
      <c r="I320" s="487"/>
      <c r="J320" s="487"/>
      <c r="K320" s="487"/>
      <c r="L320" s="491"/>
      <c r="M320" s="487"/>
      <c r="N320" s="487"/>
      <c r="O320" s="487"/>
      <c r="P320" s="487"/>
      <c r="Q320" s="237"/>
      <c r="R320" s="237"/>
      <c r="S320" s="237"/>
      <c r="T320" s="237"/>
      <c r="U320" s="102"/>
      <c r="V320" s="102"/>
      <c r="W320" s="102"/>
      <c r="X320" s="102"/>
      <c r="Y320" s="102"/>
    </row>
    <row r="321" spans="1:25" x14ac:dyDescent="0.2">
      <c r="A321" s="225">
        <v>247</v>
      </c>
      <c r="B321" s="37"/>
      <c r="C321" s="86"/>
      <c r="D321" s="10"/>
      <c r="E321" s="19"/>
      <c r="F321" s="159"/>
      <c r="G321" s="303"/>
      <c r="H321" s="268"/>
      <c r="I321" s="487"/>
      <c r="J321" s="487"/>
      <c r="K321" s="487"/>
      <c r="L321" s="491"/>
      <c r="M321" s="487"/>
      <c r="N321" s="487"/>
      <c r="O321" s="487"/>
      <c r="P321" s="487"/>
      <c r="Q321" s="237"/>
      <c r="R321" s="237"/>
      <c r="S321" s="237"/>
      <c r="T321" s="237"/>
      <c r="U321" s="102"/>
      <c r="V321" s="102"/>
      <c r="W321" s="102"/>
      <c r="X321" s="102"/>
      <c r="Y321" s="102"/>
    </row>
    <row r="322" spans="1:25" x14ac:dyDescent="0.2">
      <c r="A322" s="225">
        <v>248</v>
      </c>
      <c r="B322" s="84"/>
      <c r="D322" s="14"/>
      <c r="E322" s="15"/>
      <c r="F322" s="167"/>
      <c r="G322" s="315"/>
      <c r="H322" s="283"/>
      <c r="I322" s="487"/>
      <c r="J322" s="487"/>
      <c r="K322" s="487"/>
      <c r="L322" s="491"/>
      <c r="M322" s="487"/>
      <c r="N322" s="487"/>
      <c r="O322" s="487"/>
      <c r="P322" s="487"/>
      <c r="Q322" s="237"/>
      <c r="R322" s="237"/>
      <c r="S322" s="237"/>
      <c r="T322" s="237"/>
      <c r="U322" s="102"/>
      <c r="V322" s="102"/>
      <c r="W322" s="102"/>
      <c r="X322" s="102"/>
      <c r="Y322" s="102"/>
    </row>
    <row r="323" spans="1:25" ht="15" x14ac:dyDescent="0.25">
      <c r="A323" s="226">
        <v>249</v>
      </c>
      <c r="B323" s="88" t="s">
        <v>188</v>
      </c>
      <c r="C323" s="52"/>
      <c r="D323" s="52"/>
      <c r="E323" s="50"/>
      <c r="F323" s="163"/>
      <c r="G323" s="306">
        <f>SUM(G310:G322)</f>
        <v>13950</v>
      </c>
      <c r="H323" s="271"/>
      <c r="I323" s="487"/>
      <c r="J323" s="487"/>
      <c r="K323" s="487"/>
      <c r="L323" s="491"/>
      <c r="M323" s="487"/>
      <c r="N323" s="487"/>
      <c r="O323" s="487"/>
      <c r="P323" s="487"/>
      <c r="Q323" s="237"/>
      <c r="R323" s="237"/>
      <c r="S323" s="237"/>
      <c r="T323" s="237"/>
      <c r="U323" s="102"/>
      <c r="V323" s="102"/>
      <c r="W323" s="102"/>
      <c r="X323" s="102"/>
      <c r="Y323" s="102"/>
    </row>
    <row r="324" spans="1:25" s="14" customFormat="1" ht="15" x14ac:dyDescent="0.25">
      <c r="A324" s="223"/>
      <c r="B324" s="82"/>
      <c r="C324" s="59"/>
      <c r="D324" s="59"/>
      <c r="E324" s="23"/>
      <c r="F324" s="162"/>
      <c r="G324" s="304"/>
      <c r="H324" s="269"/>
      <c r="I324" s="487"/>
      <c r="J324" s="487"/>
      <c r="K324" s="487"/>
      <c r="L324" s="491"/>
      <c r="M324" s="487"/>
      <c r="N324" s="487"/>
      <c r="O324" s="487"/>
      <c r="P324" s="487"/>
      <c r="Q324" s="237"/>
      <c r="R324" s="237"/>
      <c r="S324" s="237"/>
      <c r="T324" s="237"/>
      <c r="U324" s="102"/>
      <c r="V324" s="102"/>
      <c r="W324" s="102"/>
      <c r="X324" s="102"/>
      <c r="Y324" s="102"/>
    </row>
    <row r="325" spans="1:25" s="14" customFormat="1" ht="15.75" thickBot="1" x14ac:dyDescent="0.3">
      <c r="A325" s="222"/>
      <c r="B325" s="35"/>
      <c r="C325" s="21"/>
      <c r="D325" s="21"/>
      <c r="E325" s="15"/>
      <c r="F325" s="167"/>
      <c r="G325" s="315"/>
      <c r="H325" s="283"/>
      <c r="I325" s="487"/>
      <c r="J325" s="487"/>
      <c r="K325" s="487"/>
      <c r="L325" s="491"/>
      <c r="M325" s="487"/>
      <c r="N325" s="487"/>
      <c r="O325" s="487"/>
      <c r="P325" s="487"/>
      <c r="Q325" s="237"/>
      <c r="R325" s="237"/>
      <c r="S325" s="237"/>
      <c r="T325" s="237"/>
      <c r="U325" s="102"/>
      <c r="V325" s="102"/>
      <c r="W325" s="102"/>
      <c r="X325" s="102"/>
      <c r="Y325" s="102"/>
    </row>
    <row r="326" spans="1:25" ht="15.75" thickBot="1" x14ac:dyDescent="0.3">
      <c r="A326" s="328">
        <v>250</v>
      </c>
      <c r="B326" s="76" t="s">
        <v>230</v>
      </c>
      <c r="C326" s="77"/>
      <c r="D326" s="77"/>
      <c r="E326" s="46"/>
      <c r="F326" s="166"/>
      <c r="G326" s="312">
        <f>+G171+G188+G203+G228+G253+G285+G307+G323</f>
        <v>1581573.9525785618</v>
      </c>
      <c r="H326" s="287"/>
      <c r="I326" s="487"/>
      <c r="J326" s="487"/>
      <c r="K326" s="487"/>
      <c r="L326" s="491"/>
      <c r="M326" s="487"/>
      <c r="N326" s="487"/>
      <c r="O326" s="487"/>
      <c r="P326" s="487"/>
      <c r="Q326" s="237"/>
      <c r="R326" s="237"/>
      <c r="S326" s="237"/>
      <c r="T326" s="237"/>
      <c r="U326" s="102"/>
      <c r="V326" s="102"/>
      <c r="W326" s="102"/>
      <c r="X326" s="102"/>
      <c r="Y326" s="102"/>
    </row>
    <row r="327" spans="1:25" ht="15" thickBot="1" x14ac:dyDescent="0.25">
      <c r="A327" s="230"/>
      <c r="B327" s="36"/>
      <c r="C327" s="13"/>
      <c r="D327" s="13"/>
      <c r="E327" s="98"/>
      <c r="F327" s="164"/>
      <c r="G327" s="310"/>
      <c r="H327" s="291"/>
      <c r="I327" s="487"/>
      <c r="J327" s="487"/>
      <c r="K327" s="487"/>
      <c r="L327" s="491"/>
      <c r="M327" s="487"/>
      <c r="N327" s="487"/>
      <c r="O327" s="487"/>
      <c r="P327" s="487"/>
      <c r="Q327" s="237"/>
      <c r="R327" s="237"/>
      <c r="S327" s="237"/>
      <c r="T327" s="237"/>
      <c r="U327" s="102"/>
      <c r="V327" s="102"/>
      <c r="W327" s="102"/>
      <c r="X327" s="102"/>
      <c r="Y327" s="102"/>
    </row>
    <row r="328" spans="1:25" ht="15.75" thickBot="1" x14ac:dyDescent="0.3">
      <c r="A328" s="231"/>
      <c r="B328" s="76" t="s">
        <v>189</v>
      </c>
      <c r="C328" s="77"/>
      <c r="D328" s="77"/>
      <c r="E328" s="122"/>
      <c r="F328" s="174"/>
      <c r="G328" s="322"/>
      <c r="H328" s="292"/>
      <c r="I328" s="487"/>
      <c r="J328" s="487"/>
      <c r="K328" s="487"/>
      <c r="L328" s="491"/>
      <c r="M328" s="487"/>
      <c r="N328" s="487"/>
      <c r="O328" s="487"/>
      <c r="P328" s="487"/>
      <c r="Q328" s="237"/>
      <c r="R328" s="237"/>
      <c r="S328" s="237"/>
      <c r="T328" s="237"/>
      <c r="U328" s="102"/>
      <c r="V328" s="102"/>
      <c r="W328" s="102"/>
      <c r="X328" s="102"/>
      <c r="Y328" s="102"/>
    </row>
    <row r="329" spans="1:25" s="5" customFormat="1" ht="15" x14ac:dyDescent="0.25">
      <c r="A329" s="225"/>
      <c r="B329" s="89" t="s">
        <v>288</v>
      </c>
      <c r="C329" s="54"/>
      <c r="D329" s="54"/>
      <c r="E329" s="78"/>
      <c r="F329" s="170"/>
      <c r="G329" s="318"/>
      <c r="H329" s="286"/>
      <c r="I329" s="489"/>
      <c r="J329" s="489"/>
      <c r="K329" s="489"/>
      <c r="L329" s="491"/>
      <c r="M329" s="489"/>
      <c r="N329" s="489"/>
      <c r="O329" s="489"/>
      <c r="P329" s="489"/>
      <c r="Q329" s="244"/>
      <c r="R329" s="244"/>
      <c r="S329" s="244"/>
      <c r="T329" s="244"/>
      <c r="U329" s="240"/>
      <c r="V329" s="240"/>
      <c r="W329" s="240"/>
      <c r="X329" s="240"/>
      <c r="Y329" s="240"/>
    </row>
    <row r="330" spans="1:25" x14ac:dyDescent="0.2">
      <c r="A330" s="225">
        <v>251</v>
      </c>
      <c r="B330" s="37"/>
      <c r="C330" s="10" t="s">
        <v>190</v>
      </c>
      <c r="D330" s="10"/>
      <c r="E330" s="19" t="s">
        <v>222</v>
      </c>
      <c r="F330" s="159">
        <v>3100</v>
      </c>
      <c r="G330" s="303">
        <v>0</v>
      </c>
      <c r="H330" s="268"/>
      <c r="I330" s="487"/>
      <c r="J330" s="487"/>
      <c r="K330" s="487"/>
      <c r="L330" s="491"/>
      <c r="M330" s="487"/>
      <c r="N330" s="487"/>
      <c r="O330" s="487"/>
      <c r="P330" s="487"/>
      <c r="Q330" s="237"/>
      <c r="R330" s="237"/>
      <c r="S330" s="237"/>
      <c r="T330" s="237"/>
      <c r="U330" s="102"/>
      <c r="V330" s="102"/>
      <c r="W330" s="102"/>
      <c r="X330" s="102"/>
      <c r="Y330" s="102"/>
    </row>
    <row r="331" spans="1:25" x14ac:dyDescent="0.2">
      <c r="A331" s="225">
        <v>252</v>
      </c>
      <c r="B331" s="37"/>
      <c r="C331" s="10" t="s">
        <v>250</v>
      </c>
      <c r="D331" s="10"/>
      <c r="E331" s="19" t="s">
        <v>251</v>
      </c>
      <c r="F331" s="159" t="s">
        <v>191</v>
      </c>
      <c r="G331" s="303"/>
      <c r="H331" s="268"/>
      <c r="I331" s="487"/>
      <c r="J331" s="487"/>
      <c r="K331" s="487"/>
      <c r="L331" s="491"/>
      <c r="M331" s="487"/>
      <c r="N331" s="487"/>
      <c r="O331" s="487"/>
      <c r="P331" s="487"/>
      <c r="Q331" s="237"/>
      <c r="R331" s="237"/>
      <c r="S331" s="237"/>
      <c r="T331" s="237"/>
      <c r="U331" s="102"/>
      <c r="V331" s="102"/>
      <c r="W331" s="102"/>
      <c r="X331" s="102"/>
      <c r="Y331" s="102"/>
    </row>
    <row r="332" spans="1:25" x14ac:dyDescent="0.2">
      <c r="A332" s="225">
        <v>253</v>
      </c>
      <c r="B332" s="37"/>
      <c r="C332" s="10" t="s">
        <v>192</v>
      </c>
      <c r="D332" s="10"/>
      <c r="E332" s="19" t="s">
        <v>193</v>
      </c>
      <c r="F332" s="159" t="s">
        <v>191</v>
      </c>
      <c r="G332" s="303">
        <f>+SUM('KIPP Assumptions'!B$65:B$68)</f>
        <v>87100</v>
      </c>
      <c r="H332" s="268"/>
      <c r="I332" s="487"/>
      <c r="J332" s="487"/>
      <c r="K332" s="487"/>
      <c r="L332" s="491"/>
      <c r="M332" s="487"/>
      <c r="N332" s="487"/>
      <c r="O332" s="487"/>
      <c r="P332" s="487"/>
      <c r="Q332" s="237"/>
      <c r="R332" s="237"/>
      <c r="S332" s="237"/>
      <c r="T332" s="237"/>
      <c r="U332" s="102"/>
      <c r="V332" s="102"/>
      <c r="W332" s="102"/>
      <c r="X332" s="102"/>
      <c r="Y332" s="102"/>
    </row>
    <row r="333" spans="1:25" x14ac:dyDescent="0.2">
      <c r="A333" s="225">
        <v>254</v>
      </c>
      <c r="B333" s="37"/>
      <c r="C333" s="10" t="s">
        <v>227</v>
      </c>
      <c r="D333" s="10"/>
      <c r="E333" s="19" t="s">
        <v>224</v>
      </c>
      <c r="F333" s="159" t="s">
        <v>191</v>
      </c>
      <c r="G333" s="303"/>
      <c r="H333" s="268"/>
      <c r="I333" s="487"/>
      <c r="J333" s="487"/>
      <c r="K333" s="487"/>
      <c r="L333" s="491"/>
      <c r="M333" s="487"/>
      <c r="N333" s="487"/>
      <c r="O333" s="487"/>
      <c r="P333" s="487"/>
      <c r="Q333" s="237"/>
      <c r="R333" s="237"/>
      <c r="S333" s="237"/>
      <c r="T333" s="237"/>
      <c r="U333" s="102"/>
      <c r="V333" s="102"/>
      <c r="W333" s="102"/>
      <c r="X333" s="102"/>
      <c r="Y333" s="102"/>
    </row>
    <row r="334" spans="1:25" x14ac:dyDescent="0.2">
      <c r="A334" s="225">
        <v>255</v>
      </c>
      <c r="B334" s="37"/>
      <c r="C334" s="10" t="s">
        <v>110</v>
      </c>
      <c r="D334" s="10"/>
      <c r="E334" s="19" t="s">
        <v>90</v>
      </c>
      <c r="F334" s="159" t="s">
        <v>191</v>
      </c>
      <c r="G334" s="303"/>
      <c r="H334" s="268"/>
      <c r="I334" s="487"/>
      <c r="J334" s="487"/>
      <c r="K334" s="487"/>
      <c r="L334" s="491"/>
      <c r="M334" s="487"/>
      <c r="N334" s="487"/>
      <c r="O334" s="487"/>
      <c r="P334" s="487"/>
      <c r="Q334" s="237"/>
      <c r="R334" s="237"/>
      <c r="S334" s="237"/>
      <c r="T334" s="237"/>
      <c r="U334" s="102"/>
      <c r="V334" s="102"/>
      <c r="W334" s="102"/>
      <c r="X334" s="102"/>
      <c r="Y334" s="102"/>
    </row>
    <row r="335" spans="1:25" x14ac:dyDescent="0.2">
      <c r="A335" s="225">
        <v>256</v>
      </c>
      <c r="B335" s="37"/>
      <c r="C335" s="10" t="s">
        <v>0</v>
      </c>
      <c r="D335" s="10"/>
      <c r="E335" s="19" t="s">
        <v>194</v>
      </c>
      <c r="F335" s="159" t="s">
        <v>191</v>
      </c>
      <c r="G335" s="303"/>
      <c r="H335" s="268"/>
      <c r="I335" s="487"/>
      <c r="J335" s="487"/>
      <c r="K335" s="487"/>
      <c r="L335" s="491"/>
      <c r="M335" s="487"/>
      <c r="N335" s="487"/>
      <c r="O335" s="487"/>
      <c r="P335" s="487"/>
      <c r="Q335" s="237"/>
      <c r="R335" s="237"/>
      <c r="S335" s="237"/>
      <c r="T335" s="237"/>
      <c r="U335" s="102"/>
      <c r="V335" s="102"/>
      <c r="W335" s="102"/>
      <c r="X335" s="102"/>
      <c r="Y335" s="102"/>
    </row>
    <row r="336" spans="1:25" x14ac:dyDescent="0.2">
      <c r="A336" s="225">
        <v>257</v>
      </c>
      <c r="B336" s="37"/>
      <c r="C336" s="10" t="s">
        <v>187</v>
      </c>
      <c r="D336" s="10"/>
      <c r="E336" s="19" t="s">
        <v>149</v>
      </c>
      <c r="F336" s="159" t="s">
        <v>191</v>
      </c>
      <c r="G336" s="303">
        <v>5300</v>
      </c>
      <c r="H336" s="268" t="s">
        <v>516</v>
      </c>
      <c r="I336" s="487"/>
      <c r="J336" s="491"/>
      <c r="K336" s="487"/>
      <c r="L336" s="491"/>
      <c r="M336" s="487"/>
      <c r="N336" s="487"/>
      <c r="O336" s="487"/>
      <c r="P336" s="487"/>
      <c r="Q336" s="237"/>
      <c r="R336" s="237"/>
      <c r="S336" s="237"/>
      <c r="T336" s="237"/>
      <c r="U336" s="102"/>
      <c r="V336" s="102"/>
      <c r="W336" s="102"/>
      <c r="X336" s="102"/>
      <c r="Y336" s="102"/>
    </row>
    <row r="337" spans="1:25" x14ac:dyDescent="0.2">
      <c r="A337" s="225">
        <v>258</v>
      </c>
      <c r="B337" s="37"/>
      <c r="C337" s="10" t="s">
        <v>228</v>
      </c>
      <c r="D337" s="10"/>
      <c r="E337" s="19" t="s">
        <v>229</v>
      </c>
      <c r="F337" s="159">
        <v>3100</v>
      </c>
      <c r="G337" s="303"/>
      <c r="H337" s="268"/>
      <c r="I337" s="487"/>
      <c r="J337" s="487"/>
      <c r="K337" s="487"/>
      <c r="L337" s="491"/>
      <c r="M337" s="487"/>
      <c r="N337" s="487"/>
      <c r="O337" s="487"/>
      <c r="P337" s="487"/>
      <c r="Q337" s="237"/>
      <c r="R337" s="237"/>
      <c r="S337" s="237"/>
      <c r="T337" s="237"/>
      <c r="U337" s="102"/>
      <c r="V337" s="102"/>
      <c r="W337" s="102"/>
      <c r="X337" s="102"/>
      <c r="Y337" s="102"/>
    </row>
    <row r="338" spans="1:25" x14ac:dyDescent="0.2">
      <c r="A338" s="225">
        <v>259</v>
      </c>
      <c r="B338" s="37"/>
      <c r="C338" s="10" t="s">
        <v>143</v>
      </c>
      <c r="D338" s="10"/>
      <c r="E338" s="19" t="s">
        <v>144</v>
      </c>
      <c r="F338" s="159" t="s">
        <v>191</v>
      </c>
      <c r="G338" s="303"/>
      <c r="H338" s="268"/>
      <c r="I338" s="487"/>
      <c r="J338" s="487"/>
      <c r="K338" s="487"/>
      <c r="L338" s="491"/>
      <c r="M338" s="487"/>
      <c r="N338" s="487"/>
      <c r="O338" s="487"/>
      <c r="P338" s="487"/>
      <c r="Q338" s="237"/>
      <c r="R338" s="237"/>
      <c r="S338" s="237"/>
      <c r="T338" s="237"/>
      <c r="U338" s="102"/>
      <c r="V338" s="102"/>
      <c r="W338" s="102"/>
      <c r="X338" s="102"/>
      <c r="Y338" s="102"/>
    </row>
    <row r="339" spans="1:25" x14ac:dyDescent="0.2">
      <c r="A339" s="225">
        <v>260</v>
      </c>
      <c r="B339" s="37"/>
      <c r="C339" s="10" t="s">
        <v>93</v>
      </c>
      <c r="D339" s="10"/>
      <c r="E339" s="19" t="s">
        <v>94</v>
      </c>
      <c r="F339" s="159" t="s">
        <v>191</v>
      </c>
      <c r="G339" s="303"/>
      <c r="H339" s="268"/>
      <c r="I339" s="487"/>
      <c r="J339" s="487"/>
      <c r="K339" s="487"/>
      <c r="L339" s="491"/>
      <c r="M339" s="487"/>
      <c r="N339" s="487"/>
      <c r="O339" s="487"/>
      <c r="P339" s="487"/>
      <c r="Q339" s="237"/>
      <c r="R339" s="237"/>
      <c r="S339" s="237"/>
      <c r="T339" s="237"/>
      <c r="U339" s="102"/>
      <c r="V339" s="102"/>
      <c r="W339" s="102"/>
      <c r="X339" s="102"/>
      <c r="Y339" s="102"/>
    </row>
    <row r="340" spans="1:25" x14ac:dyDescent="0.2">
      <c r="A340" s="225">
        <v>261</v>
      </c>
      <c r="B340" s="37"/>
      <c r="C340" s="10" t="s">
        <v>295</v>
      </c>
      <c r="D340" s="10"/>
      <c r="E340" s="19" t="s">
        <v>97</v>
      </c>
      <c r="F340" s="159" t="s">
        <v>12</v>
      </c>
      <c r="G340" s="303"/>
      <c r="H340" s="268"/>
      <c r="I340" s="487"/>
      <c r="J340" s="487"/>
      <c r="K340" s="487"/>
      <c r="L340" s="491"/>
      <c r="M340" s="487"/>
      <c r="N340" s="487"/>
      <c r="O340" s="487"/>
      <c r="P340" s="487"/>
      <c r="Q340" s="237"/>
      <c r="R340" s="237"/>
      <c r="S340" s="237"/>
      <c r="T340" s="237"/>
      <c r="U340" s="102"/>
      <c r="V340" s="102"/>
      <c r="W340" s="102"/>
      <c r="X340" s="102"/>
      <c r="Y340" s="102"/>
    </row>
    <row r="341" spans="1:25" x14ac:dyDescent="0.2">
      <c r="A341" s="225">
        <v>262</v>
      </c>
      <c r="B341" s="37"/>
      <c r="C341" s="10" t="s">
        <v>98</v>
      </c>
      <c r="D341" s="10"/>
      <c r="E341" s="19" t="s">
        <v>99</v>
      </c>
      <c r="F341" s="159" t="s">
        <v>12</v>
      </c>
      <c r="G341" s="303"/>
      <c r="H341" s="268"/>
      <c r="I341" s="487"/>
      <c r="J341" s="487"/>
      <c r="K341" s="487"/>
      <c r="L341" s="491"/>
      <c r="M341" s="487"/>
      <c r="N341" s="487"/>
      <c r="O341" s="487"/>
      <c r="P341" s="487"/>
      <c r="Q341" s="237"/>
      <c r="R341" s="237"/>
      <c r="S341" s="237"/>
      <c r="T341" s="237"/>
      <c r="U341" s="102"/>
      <c r="V341" s="102"/>
      <c r="W341" s="102"/>
      <c r="X341" s="102"/>
      <c r="Y341" s="102"/>
    </row>
    <row r="342" spans="1:25" x14ac:dyDescent="0.2">
      <c r="A342" s="225">
        <v>263</v>
      </c>
      <c r="B342" s="37"/>
      <c r="C342" s="10" t="s">
        <v>100</v>
      </c>
      <c r="D342" s="10"/>
      <c r="E342" s="19" t="s">
        <v>101</v>
      </c>
      <c r="F342" s="159" t="s">
        <v>12</v>
      </c>
      <c r="G342" s="303"/>
      <c r="H342" s="268"/>
      <c r="I342" s="487"/>
      <c r="J342" s="487"/>
      <c r="K342" s="487"/>
      <c r="L342" s="491"/>
      <c r="M342" s="487"/>
      <c r="N342" s="487"/>
      <c r="O342" s="487"/>
      <c r="P342" s="487"/>
      <c r="Q342" s="237"/>
      <c r="R342" s="237"/>
      <c r="S342" s="237"/>
      <c r="T342" s="237"/>
      <c r="U342" s="102"/>
      <c r="V342" s="102"/>
      <c r="W342" s="102"/>
      <c r="X342" s="102"/>
      <c r="Y342" s="102"/>
    </row>
    <row r="343" spans="1:25" x14ac:dyDescent="0.2">
      <c r="A343" s="225">
        <v>264</v>
      </c>
      <c r="B343" s="37"/>
      <c r="C343" s="10" t="s">
        <v>219</v>
      </c>
      <c r="D343" s="10"/>
      <c r="E343" s="19" t="s">
        <v>220</v>
      </c>
      <c r="F343" s="159" t="s">
        <v>12</v>
      </c>
      <c r="G343" s="303"/>
      <c r="H343" s="268"/>
      <c r="I343" s="487"/>
      <c r="J343" s="487"/>
      <c r="K343" s="487"/>
      <c r="L343" s="491"/>
      <c r="M343" s="487"/>
      <c r="N343" s="487"/>
      <c r="O343" s="487"/>
      <c r="P343" s="487"/>
      <c r="Q343" s="237"/>
      <c r="R343" s="237"/>
      <c r="S343" s="237"/>
      <c r="T343" s="237"/>
      <c r="U343" s="102"/>
      <c r="V343" s="102"/>
      <c r="W343" s="102"/>
      <c r="X343" s="102"/>
      <c r="Y343" s="102"/>
    </row>
    <row r="344" spans="1:25" x14ac:dyDescent="0.2">
      <c r="A344" s="225">
        <v>265</v>
      </c>
      <c r="B344" s="37"/>
      <c r="C344" s="10" t="s">
        <v>102</v>
      </c>
      <c r="D344" s="10"/>
      <c r="E344" s="19" t="s">
        <v>103</v>
      </c>
      <c r="F344" s="159" t="s">
        <v>12</v>
      </c>
      <c r="G344" s="303"/>
      <c r="H344" s="268"/>
      <c r="I344" s="487"/>
      <c r="J344" s="487"/>
      <c r="K344" s="487"/>
      <c r="L344" s="491"/>
      <c r="M344" s="487"/>
      <c r="N344" s="487"/>
      <c r="O344" s="487"/>
      <c r="P344" s="487"/>
      <c r="Q344" s="237"/>
      <c r="R344" s="237"/>
      <c r="S344" s="237"/>
      <c r="T344" s="237"/>
      <c r="U344" s="102"/>
      <c r="V344" s="102"/>
      <c r="W344" s="102"/>
      <c r="X344" s="102"/>
      <c r="Y344" s="102"/>
    </row>
    <row r="345" spans="1:25" x14ac:dyDescent="0.2">
      <c r="A345" s="225">
        <v>266</v>
      </c>
      <c r="B345" s="37"/>
      <c r="C345" s="10" t="s">
        <v>104</v>
      </c>
      <c r="D345" s="10"/>
      <c r="E345" s="19" t="s">
        <v>105</v>
      </c>
      <c r="F345" s="159" t="s">
        <v>12</v>
      </c>
      <c r="G345" s="303"/>
      <c r="H345" s="268"/>
      <c r="I345" s="487"/>
      <c r="J345" s="487"/>
      <c r="K345" s="487"/>
      <c r="L345" s="491"/>
      <c r="M345" s="487"/>
      <c r="N345" s="487"/>
      <c r="O345" s="487"/>
      <c r="P345" s="487"/>
      <c r="Q345" s="237"/>
      <c r="R345" s="237"/>
      <c r="S345" s="237"/>
      <c r="T345" s="237"/>
      <c r="U345" s="102"/>
      <c r="V345" s="102"/>
      <c r="W345" s="102"/>
      <c r="X345" s="102"/>
      <c r="Y345" s="102"/>
    </row>
    <row r="346" spans="1:25" x14ac:dyDescent="0.2">
      <c r="A346" s="225">
        <v>267</v>
      </c>
      <c r="B346" s="37"/>
      <c r="C346" s="86" t="s">
        <v>283</v>
      </c>
      <c r="D346" s="10"/>
      <c r="E346" s="19"/>
      <c r="F346" s="159"/>
      <c r="G346" s="303"/>
      <c r="H346" s="268"/>
      <c r="I346" s="487"/>
      <c r="J346" s="487"/>
      <c r="K346" s="487"/>
      <c r="L346" s="491"/>
      <c r="M346" s="487"/>
      <c r="N346" s="487"/>
      <c r="O346" s="487"/>
      <c r="P346" s="487"/>
      <c r="Q346" s="237"/>
      <c r="R346" s="237"/>
      <c r="S346" s="237"/>
      <c r="T346" s="237"/>
      <c r="U346" s="102"/>
      <c r="V346" s="102"/>
      <c r="W346" s="102"/>
      <c r="X346" s="102"/>
      <c r="Y346" s="102"/>
    </row>
    <row r="347" spans="1:25" x14ac:dyDescent="0.2">
      <c r="A347" s="225">
        <v>268</v>
      </c>
      <c r="B347" s="37"/>
      <c r="C347" s="86"/>
      <c r="D347" s="10"/>
      <c r="E347" s="19"/>
      <c r="F347" s="159"/>
      <c r="G347" s="303"/>
      <c r="H347" s="268"/>
      <c r="I347" s="487"/>
      <c r="J347" s="487"/>
      <c r="K347" s="487"/>
      <c r="L347" s="491"/>
      <c r="M347" s="487"/>
      <c r="N347" s="487"/>
      <c r="O347" s="487"/>
      <c r="P347" s="487"/>
      <c r="Q347" s="237"/>
      <c r="R347" s="237"/>
      <c r="S347" s="237"/>
      <c r="T347" s="237"/>
      <c r="U347" s="102"/>
      <c r="V347" s="102"/>
      <c r="W347" s="102"/>
      <c r="X347" s="102"/>
      <c r="Y347" s="102"/>
    </row>
    <row r="348" spans="1:25" x14ac:dyDescent="0.2">
      <c r="A348" s="225">
        <v>269</v>
      </c>
      <c r="B348" s="84"/>
      <c r="D348" s="14"/>
      <c r="E348" s="15"/>
      <c r="F348" s="167"/>
      <c r="G348" s="315"/>
      <c r="H348" s="283"/>
      <c r="I348" s="487"/>
      <c r="J348" s="487"/>
      <c r="K348" s="487"/>
      <c r="L348" s="491"/>
      <c r="M348" s="487"/>
      <c r="N348" s="487"/>
      <c r="O348" s="487"/>
      <c r="P348" s="487"/>
      <c r="Q348" s="237"/>
      <c r="R348" s="237"/>
      <c r="S348" s="237"/>
      <c r="T348" s="237"/>
      <c r="U348" s="102"/>
      <c r="V348" s="102"/>
      <c r="W348" s="102"/>
      <c r="X348" s="102"/>
      <c r="Y348" s="102"/>
    </row>
    <row r="349" spans="1:25" ht="15" x14ac:dyDescent="0.25">
      <c r="A349" s="226">
        <v>270</v>
      </c>
      <c r="B349" s="88" t="s">
        <v>195</v>
      </c>
      <c r="C349" s="52"/>
      <c r="D349" s="52"/>
      <c r="E349" s="50"/>
      <c r="F349" s="163"/>
      <c r="G349" s="306">
        <f>SUM(G330:G348)</f>
        <v>92400</v>
      </c>
      <c r="H349" s="271"/>
      <c r="I349" s="487"/>
      <c r="J349" s="487"/>
      <c r="K349" s="487"/>
      <c r="L349" s="491"/>
      <c r="M349" s="487"/>
      <c r="N349" s="487"/>
      <c r="O349" s="487"/>
      <c r="P349" s="487"/>
      <c r="Q349" s="237"/>
      <c r="R349" s="237"/>
      <c r="S349" s="237"/>
      <c r="T349" s="237"/>
      <c r="U349" s="102"/>
      <c r="V349" s="102"/>
      <c r="W349" s="102"/>
      <c r="X349" s="102"/>
      <c r="Y349" s="102"/>
    </row>
    <row r="350" spans="1:25" ht="6" customHeight="1" x14ac:dyDescent="0.2">
      <c r="A350" s="225"/>
      <c r="B350" s="37"/>
      <c r="C350" s="10"/>
      <c r="D350" s="10"/>
      <c r="E350" s="19"/>
      <c r="F350" s="159"/>
      <c r="G350" s="303"/>
      <c r="H350" s="268"/>
      <c r="I350" s="487"/>
      <c r="J350" s="487"/>
      <c r="K350" s="487"/>
      <c r="L350" s="491"/>
      <c r="M350" s="487"/>
      <c r="N350" s="487"/>
      <c r="O350" s="487"/>
      <c r="P350" s="487"/>
      <c r="Q350" s="237"/>
      <c r="R350" s="237"/>
      <c r="S350" s="237"/>
      <c r="T350" s="237"/>
      <c r="U350" s="102"/>
      <c r="V350" s="102"/>
      <c r="W350" s="102"/>
      <c r="X350" s="102"/>
      <c r="Y350" s="102"/>
    </row>
    <row r="351" spans="1:25" ht="7.5" customHeight="1" x14ac:dyDescent="0.2">
      <c r="A351" s="225"/>
      <c r="B351" s="37"/>
      <c r="C351" s="10"/>
      <c r="D351" s="10"/>
      <c r="E351" s="19"/>
      <c r="F351" s="159"/>
      <c r="G351" s="303"/>
      <c r="H351" s="268"/>
      <c r="I351" s="487"/>
      <c r="J351" s="487"/>
      <c r="K351" s="487"/>
      <c r="L351" s="491"/>
      <c r="M351" s="487"/>
      <c r="N351" s="487"/>
      <c r="O351" s="487"/>
      <c r="P351" s="487"/>
      <c r="Q351" s="237"/>
      <c r="R351" s="237"/>
      <c r="S351" s="237"/>
      <c r="T351" s="237"/>
      <c r="U351" s="102"/>
      <c r="V351" s="102"/>
      <c r="W351" s="102"/>
      <c r="X351" s="102"/>
      <c r="Y351" s="102"/>
    </row>
    <row r="352" spans="1:25" s="5" customFormat="1" ht="15" x14ac:dyDescent="0.25">
      <c r="A352" s="225" t="s">
        <v>33</v>
      </c>
      <c r="B352" s="89" t="s">
        <v>289</v>
      </c>
      <c r="C352" s="54"/>
      <c r="D352" s="54"/>
      <c r="E352" s="62"/>
      <c r="F352" s="158"/>
      <c r="G352" s="302"/>
      <c r="H352" s="267"/>
      <c r="I352" s="487"/>
      <c r="J352" s="487"/>
      <c r="K352" s="487"/>
      <c r="L352" s="491"/>
      <c r="M352" s="487"/>
      <c r="N352" s="487"/>
      <c r="O352" s="487"/>
      <c r="P352" s="487"/>
      <c r="Q352" s="237"/>
      <c r="R352" s="237"/>
      <c r="S352" s="237"/>
      <c r="T352" s="237"/>
      <c r="U352" s="240"/>
      <c r="V352" s="240"/>
      <c r="W352" s="240"/>
      <c r="X352" s="240"/>
      <c r="Y352" s="240"/>
    </row>
    <row r="353" spans="1:25" x14ac:dyDescent="0.2">
      <c r="A353" s="225">
        <v>271</v>
      </c>
      <c r="B353" s="37"/>
      <c r="C353" s="10" t="s">
        <v>76</v>
      </c>
      <c r="D353" s="10"/>
      <c r="E353" s="19" t="s">
        <v>222</v>
      </c>
      <c r="F353" s="159" t="s">
        <v>13</v>
      </c>
      <c r="G353" s="303"/>
      <c r="H353" s="268"/>
      <c r="I353" s="487"/>
      <c r="J353" s="487"/>
      <c r="K353" s="487"/>
      <c r="L353" s="491"/>
      <c r="M353" s="487"/>
      <c r="N353" s="487"/>
      <c r="O353" s="487"/>
      <c r="P353" s="487"/>
      <c r="Q353" s="237"/>
      <c r="R353" s="237"/>
      <c r="S353" s="237"/>
      <c r="T353" s="237"/>
      <c r="U353" s="102"/>
      <c r="V353" s="102"/>
      <c r="W353" s="102"/>
      <c r="X353" s="102"/>
      <c r="Y353" s="102"/>
    </row>
    <row r="354" spans="1:25" x14ac:dyDescent="0.2">
      <c r="A354" s="225">
        <v>272</v>
      </c>
      <c r="B354" s="37"/>
      <c r="C354" s="10" t="s">
        <v>110</v>
      </c>
      <c r="D354" s="10"/>
      <c r="E354" s="19" t="s">
        <v>90</v>
      </c>
      <c r="F354" s="159" t="s">
        <v>196</v>
      </c>
      <c r="G354" s="303"/>
      <c r="H354" s="268"/>
      <c r="I354" s="487"/>
      <c r="J354" s="487"/>
      <c r="K354" s="487"/>
      <c r="L354" s="491"/>
      <c r="M354" s="487"/>
      <c r="N354" s="487"/>
      <c r="O354" s="487"/>
      <c r="P354" s="487"/>
      <c r="Q354" s="237"/>
      <c r="R354" s="237"/>
      <c r="S354" s="237"/>
      <c r="T354" s="237"/>
      <c r="U354" s="102"/>
      <c r="V354" s="102"/>
      <c r="W354" s="102"/>
      <c r="X354" s="102"/>
      <c r="Y354" s="102"/>
    </row>
    <row r="355" spans="1:25" x14ac:dyDescent="0.2">
      <c r="A355" s="225">
        <v>273</v>
      </c>
      <c r="B355" s="37"/>
      <c r="C355" s="10" t="s">
        <v>295</v>
      </c>
      <c r="D355" s="10"/>
      <c r="E355" s="19" t="s">
        <v>97</v>
      </c>
      <c r="F355" s="159" t="s">
        <v>13</v>
      </c>
      <c r="G355" s="303"/>
      <c r="H355" s="268"/>
      <c r="I355" s="487"/>
      <c r="J355" s="487"/>
      <c r="K355" s="487"/>
      <c r="L355" s="491"/>
      <c r="M355" s="487"/>
      <c r="N355" s="487"/>
      <c r="O355" s="487"/>
      <c r="P355" s="487"/>
      <c r="Q355" s="237"/>
      <c r="R355" s="237"/>
      <c r="S355" s="237"/>
      <c r="T355" s="237"/>
      <c r="U355" s="102"/>
      <c r="V355" s="102"/>
      <c r="W355" s="102"/>
      <c r="X355" s="102"/>
      <c r="Y355" s="102"/>
    </row>
    <row r="356" spans="1:25" x14ac:dyDescent="0.2">
      <c r="A356" s="225">
        <v>274</v>
      </c>
      <c r="B356" s="37"/>
      <c r="C356" s="10" t="s">
        <v>98</v>
      </c>
      <c r="D356" s="10"/>
      <c r="E356" s="19" t="s">
        <v>99</v>
      </c>
      <c r="F356" s="159" t="s">
        <v>13</v>
      </c>
      <c r="G356" s="303"/>
      <c r="H356" s="268"/>
      <c r="I356" s="487"/>
      <c r="J356" s="487"/>
      <c r="K356" s="487"/>
      <c r="L356" s="491"/>
      <c r="M356" s="487"/>
      <c r="N356" s="487"/>
      <c r="O356" s="487"/>
      <c r="P356" s="487"/>
      <c r="Q356" s="237"/>
      <c r="R356" s="237"/>
      <c r="S356" s="237"/>
      <c r="T356" s="237"/>
      <c r="U356" s="102"/>
      <c r="V356" s="102"/>
      <c r="W356" s="102"/>
      <c r="X356" s="102"/>
      <c r="Y356" s="102"/>
    </row>
    <row r="357" spans="1:25" x14ac:dyDescent="0.2">
      <c r="A357" s="225">
        <v>275</v>
      </c>
      <c r="B357" s="37"/>
      <c r="C357" s="10" t="s">
        <v>100</v>
      </c>
      <c r="D357" s="10"/>
      <c r="E357" s="19" t="s">
        <v>101</v>
      </c>
      <c r="F357" s="159" t="s">
        <v>13</v>
      </c>
      <c r="G357" s="303"/>
      <c r="H357" s="268"/>
      <c r="I357" s="487"/>
      <c r="J357" s="487"/>
      <c r="K357" s="487"/>
      <c r="L357" s="491"/>
      <c r="M357" s="487"/>
      <c r="N357" s="487"/>
      <c r="O357" s="487"/>
      <c r="P357" s="487"/>
      <c r="Q357" s="237"/>
      <c r="R357" s="237"/>
      <c r="S357" s="237"/>
      <c r="T357" s="237"/>
      <c r="U357" s="102"/>
      <c r="V357" s="102"/>
      <c r="W357" s="102"/>
      <c r="X357" s="102"/>
      <c r="Y357" s="102"/>
    </row>
    <row r="358" spans="1:25" x14ac:dyDescent="0.2">
      <c r="A358" s="225">
        <v>276</v>
      </c>
      <c r="B358" s="37"/>
      <c r="C358" s="10" t="s">
        <v>219</v>
      </c>
      <c r="D358" s="10"/>
      <c r="E358" s="19" t="s">
        <v>220</v>
      </c>
      <c r="F358" s="159" t="s">
        <v>13</v>
      </c>
      <c r="G358" s="303"/>
      <c r="H358" s="268"/>
      <c r="I358" s="487"/>
      <c r="J358" s="487"/>
      <c r="K358" s="487"/>
      <c r="L358" s="491"/>
      <c r="M358" s="487"/>
      <c r="N358" s="487"/>
      <c r="O358" s="487"/>
      <c r="P358" s="487"/>
      <c r="Q358" s="237"/>
      <c r="R358" s="237"/>
      <c r="S358" s="237"/>
      <c r="T358" s="237"/>
      <c r="U358" s="102"/>
      <c r="V358" s="102"/>
      <c r="W358" s="102"/>
      <c r="X358" s="102"/>
      <c r="Y358" s="102"/>
    </row>
    <row r="359" spans="1:25" x14ac:dyDescent="0.2">
      <c r="A359" s="225">
        <v>277</v>
      </c>
      <c r="B359" s="37"/>
      <c r="C359" s="10" t="s">
        <v>102</v>
      </c>
      <c r="D359" s="10"/>
      <c r="E359" s="19" t="s">
        <v>103</v>
      </c>
      <c r="F359" s="159" t="s">
        <v>13</v>
      </c>
      <c r="G359" s="303"/>
      <c r="H359" s="268"/>
      <c r="I359" s="487"/>
      <c r="J359" s="487"/>
      <c r="K359" s="487"/>
      <c r="L359" s="491"/>
      <c r="M359" s="487"/>
      <c r="N359" s="487"/>
      <c r="O359" s="487"/>
      <c r="P359" s="487"/>
      <c r="Q359" s="237"/>
      <c r="R359" s="237"/>
      <c r="S359" s="237"/>
      <c r="T359" s="237"/>
      <c r="U359" s="102"/>
      <c r="V359" s="102"/>
      <c r="W359" s="102"/>
      <c r="X359" s="102"/>
      <c r="Y359" s="102"/>
    </row>
    <row r="360" spans="1:25" x14ac:dyDescent="0.2">
      <c r="A360" s="225">
        <v>278</v>
      </c>
      <c r="B360" s="37"/>
      <c r="C360" s="10" t="s">
        <v>104</v>
      </c>
      <c r="D360" s="10"/>
      <c r="E360" s="19" t="s">
        <v>105</v>
      </c>
      <c r="F360" s="159" t="s">
        <v>13</v>
      </c>
      <c r="G360" s="303"/>
      <c r="H360" s="268"/>
      <c r="I360" s="487"/>
      <c r="J360" s="487"/>
      <c r="K360" s="487"/>
      <c r="L360" s="491"/>
      <c r="M360" s="487"/>
      <c r="N360" s="487"/>
      <c r="O360" s="487"/>
      <c r="P360" s="487"/>
      <c r="Q360" s="237"/>
      <c r="R360" s="237"/>
      <c r="S360" s="237"/>
      <c r="T360" s="237"/>
      <c r="U360" s="102"/>
      <c r="V360" s="102"/>
      <c r="W360" s="102"/>
      <c r="X360" s="102"/>
      <c r="Y360" s="102"/>
    </row>
    <row r="361" spans="1:25" x14ac:dyDescent="0.2">
      <c r="A361" s="225">
        <v>279</v>
      </c>
      <c r="B361" s="37"/>
      <c r="C361" s="86" t="s">
        <v>283</v>
      </c>
      <c r="D361" s="10"/>
      <c r="E361" s="19"/>
      <c r="F361" s="159"/>
      <c r="G361" s="303"/>
      <c r="H361" s="268"/>
      <c r="I361" s="487"/>
      <c r="J361" s="487"/>
      <c r="K361" s="487"/>
      <c r="L361" s="491"/>
      <c r="M361" s="487"/>
      <c r="N361" s="487"/>
      <c r="O361" s="487"/>
      <c r="P361" s="487"/>
      <c r="Q361" s="237"/>
      <c r="R361" s="237"/>
      <c r="S361" s="237"/>
      <c r="T361" s="237"/>
      <c r="U361" s="102"/>
      <c r="V361" s="102"/>
      <c r="W361" s="102"/>
      <c r="X361" s="102"/>
      <c r="Y361" s="102"/>
    </row>
    <row r="362" spans="1:25" x14ac:dyDescent="0.2">
      <c r="A362" s="225">
        <v>280</v>
      </c>
      <c r="B362" s="37"/>
      <c r="C362" s="86"/>
      <c r="D362" s="10"/>
      <c r="E362" s="19"/>
      <c r="F362" s="159"/>
      <c r="G362" s="303"/>
      <c r="H362" s="268"/>
      <c r="I362" s="487"/>
      <c r="J362" s="487"/>
      <c r="K362" s="487"/>
      <c r="L362" s="491"/>
      <c r="M362" s="487"/>
      <c r="N362" s="487"/>
      <c r="O362" s="487"/>
      <c r="P362" s="487"/>
      <c r="Q362" s="237"/>
      <c r="R362" s="237"/>
      <c r="S362" s="237"/>
      <c r="T362" s="237"/>
      <c r="U362" s="102"/>
      <c r="V362" s="102"/>
      <c r="W362" s="102"/>
      <c r="X362" s="102"/>
      <c r="Y362" s="102"/>
    </row>
    <row r="363" spans="1:25" x14ac:dyDescent="0.2">
      <c r="A363" s="225"/>
      <c r="B363" s="84"/>
      <c r="D363" s="14"/>
      <c r="E363" s="15"/>
      <c r="F363" s="167"/>
      <c r="G363" s="315"/>
      <c r="H363" s="283"/>
      <c r="I363" s="487"/>
      <c r="J363" s="487"/>
      <c r="K363" s="487"/>
      <c r="L363" s="491"/>
      <c r="M363" s="487"/>
      <c r="N363" s="487"/>
      <c r="O363" s="487"/>
      <c r="P363" s="487"/>
      <c r="Q363" s="237"/>
      <c r="R363" s="237"/>
      <c r="S363" s="237"/>
      <c r="T363" s="237"/>
      <c r="U363" s="102"/>
      <c r="V363" s="102"/>
      <c r="W363" s="102"/>
      <c r="X363" s="102"/>
      <c r="Y363" s="102"/>
    </row>
    <row r="364" spans="1:25" ht="15" x14ac:dyDescent="0.25">
      <c r="A364" s="226">
        <v>281</v>
      </c>
      <c r="B364" s="88" t="s">
        <v>290</v>
      </c>
      <c r="C364" s="52"/>
      <c r="D364" s="52"/>
      <c r="E364" s="50"/>
      <c r="F364" s="163"/>
      <c r="G364" s="306">
        <f>SUM(G353:G363)</f>
        <v>0</v>
      </c>
      <c r="H364" s="271"/>
      <c r="I364" s="487"/>
      <c r="J364" s="487"/>
      <c r="K364" s="487"/>
      <c r="L364" s="491"/>
      <c r="M364" s="487"/>
      <c r="N364" s="487"/>
      <c r="O364" s="487"/>
      <c r="P364" s="487"/>
      <c r="Q364" s="237"/>
      <c r="R364" s="237"/>
      <c r="S364" s="237"/>
      <c r="T364" s="237"/>
      <c r="U364" s="102"/>
      <c r="V364" s="102"/>
      <c r="W364" s="102"/>
      <c r="X364" s="102"/>
      <c r="Y364" s="102"/>
    </row>
    <row r="365" spans="1:25" ht="15.75" thickBot="1" x14ac:dyDescent="0.3">
      <c r="A365" s="225"/>
      <c r="B365" s="81"/>
      <c r="C365" s="11"/>
      <c r="D365" s="11"/>
      <c r="E365" s="19"/>
      <c r="F365" s="159"/>
      <c r="G365" s="303"/>
      <c r="H365" s="268"/>
      <c r="I365" s="487"/>
      <c r="J365" s="487"/>
      <c r="K365" s="487"/>
      <c r="L365" s="491"/>
      <c r="M365" s="487"/>
      <c r="N365" s="487"/>
      <c r="O365" s="487"/>
      <c r="P365" s="487"/>
      <c r="Q365" s="237"/>
      <c r="R365" s="237"/>
      <c r="S365" s="237"/>
      <c r="T365" s="237"/>
      <c r="U365" s="102"/>
      <c r="V365" s="102"/>
      <c r="W365" s="102"/>
      <c r="X365" s="102"/>
      <c r="Y365" s="102"/>
    </row>
    <row r="366" spans="1:25" ht="15" x14ac:dyDescent="0.25">
      <c r="A366" s="232"/>
      <c r="B366" s="116" t="s">
        <v>231</v>
      </c>
      <c r="C366" s="124"/>
      <c r="D366" s="124"/>
      <c r="E366" s="136"/>
      <c r="F366" s="175"/>
      <c r="G366" s="323"/>
      <c r="H366" s="293"/>
      <c r="I366" s="487"/>
      <c r="J366" s="487"/>
      <c r="K366" s="487"/>
      <c r="L366" s="491"/>
      <c r="M366" s="487"/>
      <c r="N366" s="487"/>
      <c r="O366" s="487"/>
      <c r="P366" s="487"/>
      <c r="Q366" s="237"/>
      <c r="R366" s="237"/>
      <c r="S366" s="237"/>
      <c r="T366" s="237"/>
      <c r="U366" s="102"/>
      <c r="V366" s="102"/>
      <c r="W366" s="102"/>
      <c r="X366" s="102"/>
      <c r="Y366" s="102"/>
    </row>
    <row r="367" spans="1:25" ht="15.75" thickBot="1" x14ac:dyDescent="0.3">
      <c r="A367" s="233">
        <v>282</v>
      </c>
      <c r="B367" s="132"/>
      <c r="C367" s="118"/>
      <c r="D367" s="118" t="s">
        <v>197</v>
      </c>
      <c r="E367" s="128"/>
      <c r="F367" s="176"/>
      <c r="G367" s="324">
        <f>+G349+G364</f>
        <v>92400</v>
      </c>
      <c r="H367" s="294"/>
      <c r="I367" s="487"/>
      <c r="J367" s="487"/>
      <c r="K367" s="487"/>
      <c r="L367" s="491"/>
      <c r="M367" s="487"/>
      <c r="N367" s="487"/>
      <c r="O367" s="487"/>
      <c r="P367" s="487"/>
      <c r="Q367" s="237"/>
      <c r="R367" s="237"/>
      <c r="S367" s="237"/>
      <c r="T367" s="237"/>
      <c r="U367" s="102"/>
      <c r="V367" s="102"/>
      <c r="W367" s="102"/>
      <c r="X367" s="102"/>
      <c r="Y367" s="102"/>
    </row>
    <row r="368" spans="1:25" s="5" customFormat="1" ht="15" x14ac:dyDescent="0.25">
      <c r="A368" s="230"/>
      <c r="B368" s="133" t="s">
        <v>18</v>
      </c>
      <c r="C368" s="57"/>
      <c r="D368" s="57"/>
      <c r="E368" s="72"/>
      <c r="F368" s="157"/>
      <c r="G368" s="301"/>
      <c r="H368" s="266"/>
      <c r="I368" s="487"/>
      <c r="J368" s="487"/>
      <c r="K368" s="487"/>
      <c r="L368" s="491"/>
      <c r="M368" s="487"/>
      <c r="N368" s="487"/>
      <c r="O368" s="487"/>
      <c r="P368" s="487"/>
      <c r="Q368" s="237"/>
      <c r="R368" s="237"/>
      <c r="S368" s="237"/>
      <c r="T368" s="237"/>
      <c r="U368" s="240"/>
      <c r="V368" s="240"/>
      <c r="W368" s="240"/>
      <c r="X368" s="240"/>
      <c r="Y368" s="240"/>
    </row>
    <row r="369" spans="1:25" x14ac:dyDescent="0.2">
      <c r="A369" s="225">
        <v>283</v>
      </c>
      <c r="B369" s="37"/>
      <c r="C369" s="10" t="s">
        <v>199</v>
      </c>
      <c r="D369" s="10"/>
      <c r="E369" s="19" t="s">
        <v>200</v>
      </c>
      <c r="F369" s="159" t="s">
        <v>201</v>
      </c>
      <c r="G369" s="303"/>
      <c r="H369" s="268"/>
      <c r="I369" s="487"/>
      <c r="J369" s="487"/>
      <c r="K369" s="487"/>
      <c r="L369" s="491"/>
      <c r="M369" s="487"/>
      <c r="N369" s="487"/>
      <c r="O369" s="487"/>
      <c r="P369" s="487"/>
      <c r="Q369" s="237"/>
      <c r="R369" s="237"/>
      <c r="S369" s="237"/>
      <c r="T369" s="237"/>
      <c r="U369" s="102"/>
      <c r="V369" s="102"/>
      <c r="W369" s="102"/>
      <c r="X369" s="102"/>
      <c r="Y369" s="102"/>
    </row>
    <row r="370" spans="1:25" x14ac:dyDescent="0.2">
      <c r="A370" s="225">
        <v>284</v>
      </c>
      <c r="B370" s="37"/>
      <c r="C370" s="10" t="s">
        <v>202</v>
      </c>
      <c r="D370" s="10"/>
      <c r="E370" s="19" t="s">
        <v>203</v>
      </c>
      <c r="F370" s="159" t="s">
        <v>198</v>
      </c>
      <c r="G370" s="303"/>
      <c r="H370" s="268"/>
      <c r="I370" s="487"/>
      <c r="J370" s="487"/>
      <c r="K370" s="487"/>
      <c r="L370" s="491"/>
      <c r="M370" s="487"/>
      <c r="N370" s="487"/>
      <c r="O370" s="487"/>
      <c r="P370" s="487"/>
      <c r="Q370" s="237"/>
      <c r="R370" s="237"/>
      <c r="S370" s="237"/>
      <c r="T370" s="237"/>
      <c r="U370" s="102"/>
      <c r="V370" s="102"/>
      <c r="W370" s="102"/>
      <c r="X370" s="102"/>
      <c r="Y370" s="102"/>
    </row>
    <row r="371" spans="1:25" x14ac:dyDescent="0.2">
      <c r="A371" s="225">
        <v>285</v>
      </c>
      <c r="B371" s="37"/>
      <c r="C371" s="10" t="s">
        <v>204</v>
      </c>
      <c r="D371" s="10"/>
      <c r="E371" s="19" t="s">
        <v>203</v>
      </c>
      <c r="F371" s="159" t="s">
        <v>205</v>
      </c>
      <c r="G371" s="303"/>
      <c r="H371" s="268"/>
      <c r="I371" s="487"/>
      <c r="J371" s="487"/>
      <c r="K371" s="487"/>
      <c r="L371" s="491"/>
      <c r="M371" s="487"/>
      <c r="N371" s="487"/>
      <c r="O371" s="487"/>
      <c r="P371" s="487"/>
      <c r="Q371" s="237"/>
      <c r="R371" s="237"/>
      <c r="S371" s="237"/>
      <c r="T371" s="237"/>
      <c r="U371" s="102"/>
      <c r="V371" s="102"/>
      <c r="W371" s="102"/>
      <c r="X371" s="102"/>
      <c r="Y371" s="102"/>
    </row>
    <row r="372" spans="1:25" x14ac:dyDescent="0.2">
      <c r="A372" s="225">
        <v>286</v>
      </c>
      <c r="B372" s="37"/>
      <c r="C372" s="10" t="s">
        <v>93</v>
      </c>
      <c r="D372" s="10"/>
      <c r="E372" s="19" t="s">
        <v>94</v>
      </c>
      <c r="F372" s="159" t="s">
        <v>198</v>
      </c>
      <c r="G372" s="303"/>
      <c r="H372" s="268"/>
      <c r="I372" s="487"/>
      <c r="J372" s="487"/>
      <c r="K372" s="487"/>
      <c r="L372" s="491"/>
      <c r="M372" s="487"/>
      <c r="N372" s="487"/>
      <c r="O372" s="487"/>
      <c r="P372" s="487"/>
      <c r="Q372" s="237"/>
      <c r="R372" s="237"/>
      <c r="S372" s="237"/>
      <c r="T372" s="237"/>
      <c r="U372" s="102"/>
      <c r="V372" s="102"/>
      <c r="W372" s="102"/>
      <c r="X372" s="102"/>
      <c r="Y372" s="102"/>
    </row>
    <row r="373" spans="1:25" x14ac:dyDescent="0.2">
      <c r="A373" s="225">
        <v>287</v>
      </c>
      <c r="B373" s="37"/>
      <c r="C373" s="10" t="s">
        <v>85</v>
      </c>
      <c r="D373" s="10"/>
      <c r="E373" s="19" t="s">
        <v>86</v>
      </c>
      <c r="F373" s="159" t="s">
        <v>206</v>
      </c>
      <c r="G373" s="303"/>
      <c r="H373" s="268"/>
      <c r="I373" s="487"/>
      <c r="J373" s="487"/>
      <c r="K373" s="487"/>
      <c r="L373" s="491"/>
      <c r="M373" s="487"/>
      <c r="N373" s="487"/>
      <c r="O373" s="487"/>
      <c r="P373" s="487"/>
      <c r="Q373" s="237"/>
      <c r="R373" s="237"/>
      <c r="S373" s="237"/>
      <c r="T373" s="237"/>
      <c r="U373" s="102"/>
      <c r="V373" s="102"/>
      <c r="W373" s="102"/>
      <c r="X373" s="102"/>
      <c r="Y373" s="102"/>
    </row>
    <row r="374" spans="1:25" x14ac:dyDescent="0.2">
      <c r="A374" s="225">
        <v>288</v>
      </c>
      <c r="B374" s="37"/>
      <c r="C374" s="86" t="s">
        <v>283</v>
      </c>
      <c r="D374" s="10"/>
      <c r="E374" s="19"/>
      <c r="F374" s="159"/>
      <c r="G374" s="303"/>
      <c r="H374" s="268"/>
      <c r="I374" s="487"/>
      <c r="J374" s="487"/>
      <c r="K374" s="487"/>
      <c r="L374" s="491"/>
      <c r="M374" s="487"/>
      <c r="N374" s="487"/>
      <c r="O374" s="487"/>
      <c r="P374" s="487"/>
      <c r="Q374" s="237"/>
      <c r="R374" s="237"/>
      <c r="S374" s="237"/>
      <c r="T374" s="237"/>
      <c r="U374" s="102"/>
      <c r="V374" s="102"/>
      <c r="W374" s="102"/>
      <c r="X374" s="102"/>
      <c r="Y374" s="102"/>
    </row>
    <row r="375" spans="1:25" x14ac:dyDescent="0.2">
      <c r="A375" s="225">
        <v>289</v>
      </c>
      <c r="B375" s="37"/>
      <c r="C375" s="86"/>
      <c r="D375" s="10"/>
      <c r="E375" s="19"/>
      <c r="F375" s="159"/>
      <c r="G375" s="303"/>
      <c r="H375" s="268"/>
      <c r="I375" s="487"/>
      <c r="J375" s="487"/>
      <c r="K375" s="487"/>
      <c r="L375" s="491"/>
      <c r="M375" s="487"/>
      <c r="N375" s="487"/>
      <c r="O375" s="487"/>
      <c r="P375" s="487"/>
      <c r="Q375" s="237"/>
      <c r="R375" s="237"/>
      <c r="S375" s="237"/>
      <c r="T375" s="237"/>
      <c r="U375" s="102"/>
      <c r="V375" s="102"/>
      <c r="W375" s="102"/>
      <c r="X375" s="102"/>
      <c r="Y375" s="102"/>
    </row>
    <row r="376" spans="1:25" ht="15" thickBot="1" x14ac:dyDescent="0.25">
      <c r="A376" s="225">
        <v>290</v>
      </c>
      <c r="B376" s="84"/>
      <c r="D376" s="14"/>
      <c r="E376" s="15"/>
      <c r="F376" s="167"/>
      <c r="G376" s="315"/>
      <c r="H376" s="283"/>
      <c r="I376" s="487"/>
      <c r="J376" s="487"/>
      <c r="K376" s="487"/>
      <c r="L376" s="491"/>
      <c r="M376" s="487"/>
      <c r="N376" s="487"/>
      <c r="O376" s="487"/>
      <c r="P376" s="487"/>
      <c r="Q376" s="237"/>
      <c r="R376" s="237"/>
      <c r="S376" s="237"/>
      <c r="T376" s="237"/>
      <c r="U376" s="102"/>
      <c r="V376" s="102"/>
      <c r="W376" s="102"/>
      <c r="X376" s="102"/>
      <c r="Y376" s="102"/>
    </row>
    <row r="377" spans="1:25" ht="15" x14ac:dyDescent="0.25">
      <c r="A377" s="232"/>
      <c r="B377" s="116" t="s">
        <v>207</v>
      </c>
      <c r="C377" s="124"/>
      <c r="D377" s="124"/>
      <c r="E377" s="136"/>
      <c r="F377" s="175"/>
      <c r="G377" s="323"/>
      <c r="H377" s="293"/>
      <c r="I377" s="487"/>
      <c r="J377" s="487"/>
      <c r="K377" s="487"/>
      <c r="L377" s="491"/>
      <c r="M377" s="487"/>
      <c r="N377" s="487"/>
      <c r="O377" s="487"/>
      <c r="P377" s="487"/>
      <c r="Q377" s="237"/>
      <c r="R377" s="237"/>
      <c r="S377" s="237"/>
      <c r="T377" s="237"/>
      <c r="U377" s="102"/>
      <c r="V377" s="102"/>
      <c r="W377" s="102"/>
      <c r="X377" s="102"/>
      <c r="Y377" s="102"/>
    </row>
    <row r="378" spans="1:25" ht="15.75" thickBot="1" x14ac:dyDescent="0.3">
      <c r="A378" s="233">
        <v>291</v>
      </c>
      <c r="B378" s="125"/>
      <c r="C378" s="126"/>
      <c r="D378" s="118" t="s">
        <v>2</v>
      </c>
      <c r="E378" s="128"/>
      <c r="F378" s="176"/>
      <c r="G378" s="324">
        <f>SUM(G369:G376)</f>
        <v>0</v>
      </c>
      <c r="H378" s="294"/>
      <c r="I378" s="487"/>
      <c r="J378" s="487"/>
      <c r="K378" s="487"/>
      <c r="L378" s="491"/>
      <c r="M378" s="487"/>
      <c r="N378" s="487"/>
      <c r="O378" s="487"/>
      <c r="P378" s="487"/>
      <c r="Q378" s="237"/>
      <c r="R378" s="237"/>
      <c r="S378" s="237"/>
      <c r="T378" s="237"/>
      <c r="U378" s="102"/>
      <c r="V378" s="102"/>
      <c r="W378" s="102"/>
      <c r="X378" s="102"/>
      <c r="Y378" s="102"/>
    </row>
    <row r="379" spans="1:25" x14ac:dyDescent="0.2">
      <c r="A379" s="230"/>
      <c r="B379" s="36"/>
      <c r="C379" s="13"/>
      <c r="D379" s="13"/>
      <c r="E379" s="17"/>
      <c r="F379" s="171"/>
      <c r="G379" s="319"/>
      <c r="H379" s="288"/>
      <c r="I379" s="487"/>
      <c r="J379" s="487"/>
      <c r="K379" s="487"/>
      <c r="L379" s="491"/>
      <c r="M379" s="487"/>
      <c r="N379" s="487"/>
      <c r="O379" s="487"/>
      <c r="P379" s="487"/>
      <c r="Q379" s="237"/>
      <c r="R379" s="237"/>
      <c r="S379" s="237"/>
      <c r="T379" s="237"/>
      <c r="U379" s="102"/>
      <c r="V379" s="102"/>
      <c r="W379" s="102"/>
      <c r="X379" s="102"/>
      <c r="Y379" s="102"/>
    </row>
    <row r="380" spans="1:25" s="5" customFormat="1" ht="15" x14ac:dyDescent="0.25">
      <c r="A380" s="225"/>
      <c r="B380" s="53" t="s">
        <v>286</v>
      </c>
      <c r="C380" s="54"/>
      <c r="D380" s="54"/>
      <c r="E380" s="62"/>
      <c r="F380" s="158"/>
      <c r="G380" s="302"/>
      <c r="H380" s="267"/>
      <c r="I380" s="487"/>
      <c r="J380" s="487"/>
      <c r="K380" s="487"/>
      <c r="L380" s="491"/>
      <c r="M380" s="487"/>
      <c r="N380" s="487"/>
      <c r="O380" s="487"/>
      <c r="P380" s="487"/>
      <c r="Q380" s="237"/>
      <c r="R380" s="237"/>
      <c r="S380" s="237"/>
      <c r="T380" s="237"/>
      <c r="U380" s="240"/>
      <c r="V380" s="240"/>
      <c r="W380" s="240"/>
      <c r="X380" s="240"/>
      <c r="Y380" s="240"/>
    </row>
    <row r="381" spans="1:25" x14ac:dyDescent="0.2">
      <c r="A381" s="225"/>
      <c r="B381" s="37"/>
      <c r="C381" s="10" t="s">
        <v>31</v>
      </c>
      <c r="D381" s="10"/>
      <c r="E381" s="62"/>
      <c r="F381" s="158"/>
      <c r="G381" s="302"/>
      <c r="H381" s="267"/>
      <c r="I381" s="487"/>
      <c r="J381" s="487"/>
      <c r="K381" s="487"/>
      <c r="L381" s="491"/>
      <c r="M381" s="487"/>
      <c r="N381" s="487"/>
      <c r="O381" s="487"/>
      <c r="P381" s="487"/>
      <c r="Q381" s="237"/>
      <c r="R381" s="237"/>
      <c r="S381" s="237"/>
      <c r="T381" s="237"/>
      <c r="U381" s="102"/>
      <c r="V381" s="102"/>
      <c r="W381" s="102"/>
      <c r="X381" s="102"/>
      <c r="Y381" s="102"/>
    </row>
    <row r="382" spans="1:25" x14ac:dyDescent="0.2">
      <c r="A382" s="225">
        <v>292</v>
      </c>
      <c r="B382" s="37"/>
      <c r="C382" s="10"/>
      <c r="D382" s="10" t="s">
        <v>209</v>
      </c>
      <c r="E382" s="19" t="s">
        <v>149</v>
      </c>
      <c r="F382" s="159" t="s">
        <v>208</v>
      </c>
      <c r="G382" s="303"/>
      <c r="H382" s="268"/>
      <c r="I382" s="487"/>
      <c r="J382" s="487"/>
      <c r="K382" s="487"/>
      <c r="L382" s="491"/>
      <c r="M382" s="487"/>
      <c r="N382" s="487"/>
      <c r="O382" s="487"/>
      <c r="P382" s="487"/>
      <c r="Q382" s="237"/>
      <c r="R382" s="237"/>
      <c r="S382" s="237"/>
      <c r="T382" s="237"/>
      <c r="U382" s="102"/>
      <c r="V382" s="102"/>
      <c r="W382" s="102"/>
      <c r="X382" s="102"/>
      <c r="Y382" s="102"/>
    </row>
    <row r="383" spans="1:25" x14ac:dyDescent="0.2">
      <c r="A383" s="225">
        <v>293</v>
      </c>
      <c r="B383" s="37"/>
      <c r="C383" s="10"/>
      <c r="D383" s="10" t="s">
        <v>210</v>
      </c>
      <c r="E383" s="19" t="s">
        <v>152</v>
      </c>
      <c r="F383" s="159" t="s">
        <v>208</v>
      </c>
      <c r="G383" s="303"/>
      <c r="H383" s="268"/>
      <c r="I383" s="487"/>
      <c r="J383" s="487"/>
      <c r="K383" s="487"/>
      <c r="L383" s="491"/>
      <c r="M383" s="487"/>
      <c r="N383" s="487"/>
      <c r="O383" s="487"/>
      <c r="P383" s="487"/>
      <c r="Q383" s="237"/>
      <c r="R383" s="237"/>
      <c r="S383" s="237"/>
      <c r="T383" s="237"/>
      <c r="U383" s="102"/>
      <c r="V383" s="102"/>
      <c r="W383" s="102"/>
      <c r="X383" s="102"/>
      <c r="Y383" s="102"/>
    </row>
    <row r="384" spans="1:25" x14ac:dyDescent="0.2">
      <c r="A384" s="225">
        <v>294</v>
      </c>
      <c r="B384" s="37"/>
      <c r="C384" s="10"/>
      <c r="D384" s="10" t="s">
        <v>211</v>
      </c>
      <c r="E384" s="19" t="s">
        <v>212</v>
      </c>
      <c r="F384" s="159" t="s">
        <v>208</v>
      </c>
      <c r="G384" s="303"/>
      <c r="H384" s="268"/>
      <c r="I384" s="487"/>
      <c r="J384" s="487"/>
      <c r="K384" s="487"/>
      <c r="L384" s="491"/>
      <c r="M384" s="487"/>
      <c r="N384" s="487"/>
      <c r="O384" s="487"/>
      <c r="P384" s="487"/>
      <c r="Q384" s="237"/>
      <c r="R384" s="237"/>
      <c r="S384" s="237"/>
      <c r="T384" s="237"/>
      <c r="U384" s="102"/>
      <c r="V384" s="102"/>
      <c r="W384" s="102"/>
      <c r="X384" s="102"/>
      <c r="Y384" s="102"/>
    </row>
    <row r="385" spans="1:25" x14ac:dyDescent="0.2">
      <c r="A385" s="225">
        <v>295</v>
      </c>
      <c r="B385" s="37"/>
      <c r="C385" s="10"/>
      <c r="D385" s="10" t="s">
        <v>95</v>
      </c>
      <c r="E385" s="19" t="s">
        <v>96</v>
      </c>
      <c r="F385" s="159" t="s">
        <v>208</v>
      </c>
      <c r="G385" s="321"/>
      <c r="H385" s="290"/>
      <c r="I385" s="487"/>
      <c r="J385" s="487"/>
      <c r="K385" s="487"/>
      <c r="L385" s="491"/>
      <c r="M385" s="487"/>
      <c r="N385" s="487"/>
      <c r="O385" s="487"/>
      <c r="P385" s="487"/>
      <c r="Q385" s="237"/>
      <c r="R385" s="237"/>
      <c r="S385" s="237"/>
      <c r="T385" s="237"/>
      <c r="U385" s="102"/>
      <c r="V385" s="102"/>
      <c r="W385" s="102"/>
      <c r="X385" s="102"/>
      <c r="Y385" s="102"/>
    </row>
    <row r="386" spans="1:25" x14ac:dyDescent="0.2">
      <c r="A386" s="225">
        <v>296</v>
      </c>
      <c r="B386" s="37"/>
      <c r="C386" s="86" t="s">
        <v>283</v>
      </c>
      <c r="D386" s="10"/>
      <c r="E386" s="19"/>
      <c r="F386" s="159"/>
      <c r="G386" s="303"/>
      <c r="H386" s="268"/>
      <c r="I386" s="487"/>
      <c r="J386" s="487"/>
      <c r="K386" s="487"/>
      <c r="L386" s="491"/>
      <c r="M386" s="487"/>
      <c r="N386" s="487"/>
      <c r="O386" s="487"/>
      <c r="P386" s="487"/>
      <c r="Q386" s="237"/>
      <c r="R386" s="237"/>
      <c r="S386" s="237"/>
      <c r="T386" s="237"/>
      <c r="U386" s="102"/>
      <c r="V386" s="102"/>
      <c r="W386" s="102"/>
      <c r="X386" s="102"/>
      <c r="Y386" s="102"/>
    </row>
    <row r="387" spans="1:25" x14ac:dyDescent="0.2">
      <c r="A387" s="225">
        <v>297</v>
      </c>
      <c r="B387" s="37"/>
      <c r="C387" s="86"/>
      <c r="D387" s="10"/>
      <c r="E387" s="19"/>
      <c r="F387" s="159"/>
      <c r="G387" s="303"/>
      <c r="H387" s="268"/>
      <c r="I387" s="487"/>
      <c r="J387" s="487"/>
      <c r="K387" s="487"/>
      <c r="L387" s="491"/>
      <c r="M387" s="487"/>
      <c r="N387" s="487"/>
      <c r="O387" s="487"/>
      <c r="P387" s="487"/>
      <c r="Q387" s="237"/>
      <c r="R387" s="237"/>
      <c r="S387" s="237"/>
      <c r="T387" s="237"/>
      <c r="U387" s="102"/>
      <c r="V387" s="102"/>
      <c r="W387" s="102"/>
      <c r="X387" s="102"/>
      <c r="Y387" s="102"/>
    </row>
    <row r="388" spans="1:25" ht="15" thickBot="1" x14ac:dyDescent="0.25">
      <c r="A388" s="225">
        <v>298</v>
      </c>
      <c r="B388" s="84"/>
      <c r="D388" s="14"/>
      <c r="E388" s="15"/>
      <c r="F388" s="167"/>
      <c r="G388" s="315"/>
      <c r="H388" s="283"/>
      <c r="I388" s="487"/>
      <c r="J388" s="487"/>
      <c r="K388" s="487"/>
      <c r="L388" s="491"/>
      <c r="M388" s="487"/>
      <c r="N388" s="487"/>
      <c r="O388" s="487"/>
      <c r="P388" s="487"/>
      <c r="Q388" s="237"/>
      <c r="R388" s="237"/>
      <c r="S388" s="237"/>
      <c r="T388" s="237"/>
      <c r="U388" s="102"/>
      <c r="V388" s="102"/>
      <c r="W388" s="102"/>
      <c r="X388" s="102"/>
      <c r="Y388" s="102"/>
    </row>
    <row r="389" spans="1:25" ht="15.75" thickBot="1" x14ac:dyDescent="0.3">
      <c r="A389" s="229">
        <v>299</v>
      </c>
      <c r="B389" s="76" t="s">
        <v>287</v>
      </c>
      <c r="C389" s="77"/>
      <c r="D389" s="77"/>
      <c r="E389" s="46"/>
      <c r="F389" s="166"/>
      <c r="G389" s="312">
        <f>SUM(G381:G388)</f>
        <v>0</v>
      </c>
      <c r="H389" s="287"/>
      <c r="I389" s="487"/>
      <c r="J389" s="487"/>
      <c r="K389" s="487"/>
      <c r="L389" s="491"/>
      <c r="M389" s="487"/>
      <c r="N389" s="487"/>
      <c r="O389" s="487"/>
      <c r="P389" s="487"/>
      <c r="Q389" s="237"/>
      <c r="R389" s="237"/>
      <c r="S389" s="237"/>
      <c r="T389" s="237"/>
      <c r="U389" s="102"/>
      <c r="V389" s="102"/>
      <c r="W389" s="102"/>
      <c r="X389" s="102"/>
      <c r="Y389" s="102"/>
    </row>
    <row r="390" spans="1:25" ht="15" thickBot="1" x14ac:dyDescent="0.25">
      <c r="A390" s="225"/>
      <c r="B390" s="37"/>
      <c r="C390" s="10"/>
      <c r="D390" s="10"/>
      <c r="E390" s="19"/>
      <c r="F390" s="159"/>
      <c r="G390" s="303"/>
      <c r="H390" s="268"/>
      <c r="I390" s="487"/>
      <c r="J390" s="487"/>
      <c r="K390" s="487"/>
      <c r="L390" s="491"/>
      <c r="M390" s="487"/>
      <c r="N390" s="487"/>
      <c r="O390" s="487"/>
      <c r="P390" s="487"/>
      <c r="Q390" s="237"/>
      <c r="R390" s="237"/>
      <c r="S390" s="237"/>
      <c r="T390" s="237"/>
      <c r="U390" s="102"/>
      <c r="V390" s="102"/>
      <c r="W390" s="102"/>
      <c r="X390" s="102"/>
      <c r="Y390" s="102"/>
    </row>
    <row r="391" spans="1:25" ht="15.75" thickBot="1" x14ac:dyDescent="0.3">
      <c r="A391" s="229">
        <v>300</v>
      </c>
      <c r="B391" s="76" t="s">
        <v>213</v>
      </c>
      <c r="C391" s="77"/>
      <c r="D391" s="77"/>
      <c r="E391" s="46"/>
      <c r="F391" s="166"/>
      <c r="G391" s="312">
        <f>+G154+G326+G367+G378+G389</f>
        <v>2710947.5769015346</v>
      </c>
      <c r="H391" s="287"/>
      <c r="I391" s="487"/>
      <c r="J391" s="487"/>
      <c r="K391" s="487"/>
      <c r="L391" s="491"/>
      <c r="M391" s="487"/>
      <c r="N391" s="487"/>
      <c r="O391" s="487"/>
      <c r="P391" s="487"/>
      <c r="Q391" s="237"/>
      <c r="R391" s="237"/>
      <c r="S391" s="237"/>
      <c r="T391" s="237"/>
      <c r="U391" s="102"/>
      <c r="V391" s="102"/>
      <c r="W391" s="102"/>
      <c r="X391" s="102"/>
      <c r="Y391" s="102"/>
    </row>
    <row r="392" spans="1:25" x14ac:dyDescent="0.2">
      <c r="A392" s="225"/>
      <c r="B392" s="37"/>
      <c r="C392" s="10"/>
      <c r="D392" s="10"/>
      <c r="E392" s="19"/>
      <c r="F392" s="159"/>
      <c r="G392" s="303"/>
      <c r="H392" s="268"/>
      <c r="I392" s="487"/>
      <c r="J392" s="487"/>
      <c r="K392" s="487"/>
      <c r="L392" s="491"/>
      <c r="M392" s="487"/>
      <c r="N392" s="487"/>
      <c r="O392" s="487"/>
      <c r="P392" s="487"/>
      <c r="Q392" s="237"/>
      <c r="R392" s="237"/>
      <c r="S392" s="237"/>
      <c r="T392" s="237"/>
      <c r="U392" s="102"/>
      <c r="V392" s="102"/>
      <c r="W392" s="102"/>
      <c r="X392" s="102"/>
      <c r="Y392" s="102"/>
    </row>
    <row r="393" spans="1:25" s="5" customFormat="1" ht="15" x14ac:dyDescent="0.25">
      <c r="A393" s="225"/>
      <c r="B393" s="87" t="s">
        <v>291</v>
      </c>
      <c r="C393" s="12"/>
      <c r="D393" s="12"/>
      <c r="E393" s="78"/>
      <c r="F393" s="170"/>
      <c r="G393" s="318"/>
      <c r="H393" s="286"/>
      <c r="I393" s="489"/>
      <c r="J393" s="489"/>
      <c r="K393" s="489"/>
      <c r="L393" s="491"/>
      <c r="M393" s="489"/>
      <c r="N393" s="489"/>
      <c r="O393" s="489"/>
      <c r="P393" s="489"/>
      <c r="Q393" s="244"/>
      <c r="R393" s="244"/>
      <c r="S393" s="244"/>
      <c r="T393" s="244"/>
      <c r="U393" s="240"/>
      <c r="V393" s="240"/>
      <c r="W393" s="240"/>
      <c r="X393" s="240"/>
      <c r="Y393" s="240"/>
    </row>
    <row r="394" spans="1:25" x14ac:dyDescent="0.2">
      <c r="A394" s="225">
        <v>301</v>
      </c>
      <c r="B394" s="37" t="s">
        <v>4</v>
      </c>
      <c r="C394" s="10"/>
      <c r="D394" s="10"/>
      <c r="E394" s="19" t="s">
        <v>221</v>
      </c>
      <c r="F394" s="159" t="s">
        <v>253</v>
      </c>
      <c r="G394" s="303"/>
      <c r="H394" s="268"/>
      <c r="I394" s="487"/>
      <c r="J394" s="487"/>
      <c r="K394" s="487"/>
      <c r="L394" s="491"/>
      <c r="M394" s="487"/>
      <c r="N394" s="487"/>
      <c r="O394" s="487"/>
      <c r="P394" s="487"/>
      <c r="Q394" s="237"/>
      <c r="R394" s="237"/>
      <c r="S394" s="237"/>
      <c r="T394" s="237"/>
      <c r="U394" s="102"/>
      <c r="V394" s="102"/>
      <c r="W394" s="102"/>
      <c r="X394" s="102"/>
      <c r="Y394" s="102"/>
    </row>
    <row r="395" spans="1:25" ht="15" thickBot="1" x14ac:dyDescent="0.25">
      <c r="A395" s="225">
        <v>302</v>
      </c>
      <c r="B395" s="37"/>
      <c r="C395" s="10"/>
      <c r="D395" s="10"/>
      <c r="E395" s="19"/>
      <c r="F395" s="159"/>
      <c r="G395" s="303"/>
      <c r="H395" s="268"/>
      <c r="I395" s="487"/>
      <c r="J395" s="487"/>
      <c r="K395" s="487"/>
      <c r="L395" s="491"/>
      <c r="M395" s="487"/>
      <c r="N395" s="487"/>
      <c r="O395" s="487"/>
      <c r="P395" s="487"/>
      <c r="Q395" s="237"/>
      <c r="R395" s="237"/>
      <c r="S395" s="237"/>
      <c r="T395" s="237"/>
      <c r="U395" s="102"/>
      <c r="V395" s="102"/>
      <c r="W395" s="102"/>
      <c r="X395" s="102"/>
      <c r="Y395" s="102"/>
    </row>
    <row r="396" spans="1:25" ht="15.75" thickBot="1" x14ac:dyDescent="0.3">
      <c r="A396" s="229">
        <v>303</v>
      </c>
      <c r="B396" s="76" t="s">
        <v>214</v>
      </c>
      <c r="C396" s="77"/>
      <c r="D396" s="77"/>
      <c r="E396" s="46"/>
      <c r="F396" s="166"/>
      <c r="G396" s="312">
        <f>SUM(G392:G395)</f>
        <v>0</v>
      </c>
      <c r="H396" s="287"/>
      <c r="I396" s="487"/>
      <c r="J396" s="487"/>
      <c r="K396" s="487"/>
      <c r="L396" s="491"/>
      <c r="M396" s="487"/>
      <c r="N396" s="487"/>
      <c r="O396" s="487"/>
      <c r="P396" s="487"/>
      <c r="Q396" s="237"/>
      <c r="R396" s="237"/>
      <c r="S396" s="237"/>
      <c r="T396" s="237"/>
      <c r="U396" s="102"/>
      <c r="V396" s="102"/>
      <c r="W396" s="102"/>
      <c r="X396" s="102"/>
      <c r="Y396" s="102"/>
    </row>
    <row r="397" spans="1:25" ht="15" thickBot="1" x14ac:dyDescent="0.25">
      <c r="A397" s="225"/>
      <c r="B397" s="37"/>
      <c r="C397" s="10"/>
      <c r="D397" s="10"/>
      <c r="E397" s="19"/>
      <c r="F397" s="159"/>
      <c r="G397" s="303"/>
      <c r="H397" s="268"/>
      <c r="I397" s="487"/>
      <c r="J397" s="487"/>
      <c r="K397" s="487"/>
      <c r="L397" s="491"/>
      <c r="M397" s="487"/>
      <c r="N397" s="487"/>
      <c r="O397" s="487"/>
      <c r="P397" s="487"/>
      <c r="Q397" s="237"/>
      <c r="R397" s="237"/>
      <c r="S397" s="237"/>
      <c r="T397" s="237"/>
      <c r="U397" s="102"/>
      <c r="V397" s="102"/>
      <c r="W397" s="102"/>
      <c r="X397" s="102"/>
      <c r="Y397" s="102"/>
    </row>
    <row r="398" spans="1:25" s="5" customFormat="1" ht="15.75" thickBot="1" x14ac:dyDescent="0.3">
      <c r="A398" s="235" t="s">
        <v>215</v>
      </c>
      <c r="B398" s="76"/>
      <c r="C398" s="77"/>
      <c r="D398" s="77"/>
      <c r="E398" s="120"/>
      <c r="F398" s="177"/>
      <c r="G398" s="325"/>
      <c r="H398" s="295"/>
      <c r="I398" s="489"/>
      <c r="J398" s="489"/>
      <c r="K398" s="489"/>
      <c r="L398" s="491"/>
      <c r="M398" s="489"/>
      <c r="N398" s="489"/>
      <c r="O398" s="489"/>
      <c r="P398" s="489"/>
      <c r="Q398" s="244"/>
      <c r="R398" s="244"/>
      <c r="S398" s="244"/>
      <c r="T398" s="244"/>
      <c r="U398" s="240"/>
      <c r="V398" s="240"/>
      <c r="W398" s="240"/>
      <c r="X398" s="240"/>
      <c r="Y398" s="240"/>
    </row>
    <row r="399" spans="1:25" ht="15" x14ac:dyDescent="0.25">
      <c r="A399" s="232"/>
      <c r="B399" s="131"/>
      <c r="C399" s="130" t="s">
        <v>254</v>
      </c>
      <c r="D399" s="119"/>
      <c r="E399" s="136"/>
      <c r="F399" s="175"/>
      <c r="G399" s="323"/>
      <c r="H399" s="293"/>
      <c r="I399" s="487"/>
      <c r="J399" s="487"/>
      <c r="K399" s="487"/>
      <c r="L399" s="491"/>
      <c r="M399" s="487"/>
      <c r="N399" s="487"/>
      <c r="O399" s="487"/>
      <c r="P399" s="487"/>
      <c r="Q399" s="237"/>
      <c r="R399" s="237"/>
      <c r="S399" s="237"/>
      <c r="T399" s="237"/>
      <c r="U399" s="102"/>
      <c r="V399" s="102"/>
      <c r="W399" s="102"/>
      <c r="X399" s="102"/>
      <c r="Y399" s="102"/>
    </row>
    <row r="400" spans="1:25" ht="15.75" thickBot="1" x14ac:dyDescent="0.3">
      <c r="A400" s="257">
        <v>304</v>
      </c>
      <c r="B400" s="258"/>
      <c r="C400" s="259" t="s">
        <v>3</v>
      </c>
      <c r="D400" s="260"/>
      <c r="E400" s="261"/>
      <c r="F400" s="262"/>
      <c r="G400" s="326">
        <f>+G70-G391-G396</f>
        <v>150848.92309846543</v>
      </c>
      <c r="H400" s="296"/>
      <c r="I400" s="487"/>
      <c r="J400" s="487"/>
      <c r="K400" s="487"/>
      <c r="L400" s="491"/>
      <c r="M400" s="487"/>
      <c r="N400" s="487"/>
      <c r="O400" s="487"/>
      <c r="P400" s="487"/>
      <c r="Q400" s="237"/>
      <c r="R400" s="237"/>
      <c r="S400" s="237"/>
      <c r="T400" s="237"/>
      <c r="U400" s="102"/>
      <c r="V400" s="102"/>
      <c r="W400" s="102"/>
      <c r="X400" s="102"/>
      <c r="Y400" s="102"/>
    </row>
    <row r="401" spans="1:25" ht="15" thickTop="1" x14ac:dyDescent="0.2">
      <c r="A401" s="221"/>
      <c r="G401" s="327"/>
      <c r="H401" s="281"/>
      <c r="I401" s="102"/>
      <c r="J401" s="102"/>
      <c r="K401" s="102"/>
      <c r="L401" s="102"/>
      <c r="M401" s="102"/>
      <c r="N401" s="102"/>
      <c r="O401" s="102"/>
      <c r="P401" s="102"/>
      <c r="Q401" s="102"/>
      <c r="R401" s="102"/>
      <c r="S401" s="102"/>
      <c r="T401" s="102"/>
      <c r="U401" s="102"/>
      <c r="V401" s="102"/>
      <c r="W401" s="102"/>
      <c r="X401" s="102"/>
      <c r="Y401" s="102"/>
    </row>
    <row r="402" spans="1:25" x14ac:dyDescent="0.2">
      <c r="A402" s="221"/>
      <c r="G402" s="327"/>
      <c r="H402" s="281"/>
      <c r="I402" s="494"/>
      <c r="J402" s="102"/>
      <c r="K402" s="102"/>
      <c r="L402" s="102"/>
      <c r="M402" s="102"/>
      <c r="N402" s="102"/>
      <c r="O402" s="102"/>
      <c r="P402" s="102"/>
      <c r="Q402" s="102"/>
      <c r="R402" s="102"/>
      <c r="S402" s="102"/>
      <c r="T402" s="102"/>
      <c r="U402" s="102"/>
      <c r="V402" s="102"/>
      <c r="W402" s="102"/>
      <c r="X402" s="102"/>
      <c r="Y402" s="102"/>
    </row>
    <row r="403" spans="1:25" x14ac:dyDescent="0.2">
      <c r="A403" s="221"/>
      <c r="G403" s="352"/>
      <c r="H403" s="281"/>
      <c r="I403" s="102"/>
      <c r="J403" s="102"/>
      <c r="K403" s="102"/>
      <c r="L403" s="102"/>
      <c r="M403" s="102"/>
      <c r="N403" s="102"/>
      <c r="O403" s="102"/>
      <c r="P403" s="102"/>
      <c r="Q403" s="102"/>
      <c r="R403" s="102"/>
      <c r="S403" s="102"/>
      <c r="T403" s="102"/>
      <c r="U403" s="102"/>
      <c r="V403" s="102"/>
      <c r="W403" s="102"/>
      <c r="X403" s="102"/>
      <c r="Y403" s="102"/>
    </row>
    <row r="404" spans="1:25" x14ac:dyDescent="0.2">
      <c r="A404" s="221"/>
      <c r="G404" s="327"/>
      <c r="H404" s="281"/>
      <c r="I404" s="102"/>
      <c r="J404" s="102"/>
      <c r="K404" s="102"/>
      <c r="L404" s="102"/>
      <c r="M404" s="102"/>
      <c r="N404" s="102"/>
      <c r="O404" s="102"/>
      <c r="P404" s="102"/>
      <c r="Q404" s="102"/>
      <c r="R404" s="102"/>
      <c r="S404" s="102"/>
      <c r="T404" s="102"/>
      <c r="U404" s="102"/>
      <c r="V404" s="102"/>
      <c r="W404" s="102"/>
      <c r="X404" s="102"/>
      <c r="Y404" s="102"/>
    </row>
    <row r="405" spans="1:25" x14ac:dyDescent="0.2">
      <c r="A405" s="221"/>
      <c r="G405" s="353"/>
      <c r="H405" s="281"/>
      <c r="I405" s="102"/>
      <c r="J405" s="102"/>
      <c r="K405" s="102"/>
      <c r="L405" s="102"/>
      <c r="M405" s="102"/>
      <c r="N405" s="102"/>
      <c r="O405" s="102"/>
      <c r="P405" s="102"/>
      <c r="Q405" s="102"/>
      <c r="R405" s="102"/>
      <c r="S405" s="102"/>
      <c r="T405" s="102"/>
      <c r="U405" s="102"/>
      <c r="V405" s="102"/>
      <c r="W405" s="102"/>
      <c r="X405" s="102"/>
      <c r="Y405" s="102"/>
    </row>
    <row r="406" spans="1:25" x14ac:dyDescent="0.2">
      <c r="A406" s="221"/>
      <c r="G406" s="327"/>
      <c r="H406" s="281"/>
      <c r="I406" s="102"/>
      <c r="J406" s="102"/>
      <c r="K406" s="102"/>
      <c r="L406" s="102"/>
      <c r="M406" s="102"/>
      <c r="N406" s="102"/>
      <c r="O406" s="102"/>
      <c r="P406" s="102"/>
      <c r="Q406" s="102"/>
      <c r="R406" s="102"/>
      <c r="S406" s="102"/>
      <c r="T406" s="102"/>
      <c r="U406" s="102"/>
      <c r="V406" s="102"/>
      <c r="W406" s="102"/>
      <c r="X406" s="102"/>
      <c r="Y406" s="102"/>
    </row>
    <row r="407" spans="1:25" x14ac:dyDescent="0.2">
      <c r="A407" s="221"/>
      <c r="G407" s="327"/>
      <c r="H407" s="281"/>
      <c r="I407" s="102"/>
      <c r="J407" s="102"/>
      <c r="K407" s="102"/>
      <c r="L407" s="102"/>
      <c r="M407" s="102"/>
      <c r="N407" s="102"/>
      <c r="O407" s="102"/>
      <c r="P407" s="102"/>
      <c r="Q407" s="102"/>
      <c r="R407" s="102"/>
      <c r="S407" s="102"/>
      <c r="T407" s="102"/>
      <c r="U407" s="102"/>
      <c r="V407" s="102"/>
      <c r="W407" s="102"/>
      <c r="X407" s="102"/>
      <c r="Y407" s="102"/>
    </row>
    <row r="408" spans="1:25" x14ac:dyDescent="0.2">
      <c r="A408" s="221"/>
      <c r="G408" s="327"/>
      <c r="H408" s="281"/>
      <c r="I408" s="102"/>
      <c r="J408" s="102"/>
      <c r="K408" s="102"/>
      <c r="L408" s="102"/>
      <c r="M408" s="102"/>
      <c r="N408" s="102"/>
      <c r="O408" s="102"/>
      <c r="P408" s="102"/>
      <c r="Q408" s="102"/>
      <c r="R408" s="102"/>
      <c r="S408" s="102"/>
      <c r="T408" s="102"/>
      <c r="U408" s="102"/>
      <c r="V408" s="102"/>
      <c r="W408" s="102"/>
      <c r="X408" s="102"/>
      <c r="Y408" s="102"/>
    </row>
    <row r="409" spans="1:25" x14ac:dyDescent="0.2">
      <c r="A409" s="221"/>
      <c r="G409" s="327"/>
    </row>
    <row r="410" spans="1:25" x14ac:dyDescent="0.2">
      <c r="A410" s="221"/>
    </row>
    <row r="411" spans="1:25" x14ac:dyDescent="0.2">
      <c r="A411" s="221"/>
    </row>
    <row r="412" spans="1:25" x14ac:dyDescent="0.2">
      <c r="A412" s="221"/>
    </row>
    <row r="413" spans="1:25" x14ac:dyDescent="0.2">
      <c r="A413" s="221"/>
    </row>
    <row r="414" spans="1:25" x14ac:dyDescent="0.2">
      <c r="A414" s="221"/>
    </row>
    <row r="415" spans="1:25" x14ac:dyDescent="0.2">
      <c r="A415" s="221"/>
    </row>
    <row r="416" spans="1:25" x14ac:dyDescent="0.2">
      <c r="A416" s="221"/>
    </row>
    <row r="417" spans="1:1" x14ac:dyDescent="0.2">
      <c r="A417" s="221"/>
    </row>
    <row r="418" spans="1:1" x14ac:dyDescent="0.2">
      <c r="A418" s="221"/>
    </row>
    <row r="419" spans="1:1" x14ac:dyDescent="0.2">
      <c r="A419" s="221"/>
    </row>
    <row r="420" spans="1:1" x14ac:dyDescent="0.2">
      <c r="A420" s="221"/>
    </row>
    <row r="421" spans="1:1" x14ac:dyDescent="0.2">
      <c r="A421" s="221"/>
    </row>
    <row r="422" spans="1:1" x14ac:dyDescent="0.2">
      <c r="A422" s="221"/>
    </row>
    <row r="423" spans="1:1" x14ac:dyDescent="0.2">
      <c r="A423" s="221"/>
    </row>
    <row r="424" spans="1:1" x14ac:dyDescent="0.2">
      <c r="A424" s="221"/>
    </row>
    <row r="425" spans="1:1" x14ac:dyDescent="0.2">
      <c r="A425" s="221"/>
    </row>
    <row r="426" spans="1:1" x14ac:dyDescent="0.2">
      <c r="A426" s="221"/>
    </row>
    <row r="427" spans="1:1" x14ac:dyDescent="0.2">
      <c r="A427" s="221"/>
    </row>
    <row r="428" spans="1:1" x14ac:dyDescent="0.2">
      <c r="A428" s="221"/>
    </row>
    <row r="429" spans="1:1" x14ac:dyDescent="0.2">
      <c r="A429" s="221"/>
    </row>
    <row r="430" spans="1:1" x14ac:dyDescent="0.2">
      <c r="A430" s="221"/>
    </row>
    <row r="431" spans="1:1" x14ac:dyDescent="0.2">
      <c r="A431" s="221"/>
    </row>
    <row r="432" spans="1:1" x14ac:dyDescent="0.2">
      <c r="A432" s="221"/>
    </row>
    <row r="433" spans="1:1" x14ac:dyDescent="0.2">
      <c r="A433" s="221"/>
    </row>
    <row r="434" spans="1:1" x14ac:dyDescent="0.2">
      <c r="A434" s="221"/>
    </row>
    <row r="435" spans="1:1" x14ac:dyDescent="0.2">
      <c r="A435" s="221"/>
    </row>
    <row r="436" spans="1:1" x14ac:dyDescent="0.2">
      <c r="A436" s="221"/>
    </row>
    <row r="437" spans="1:1" x14ac:dyDescent="0.2">
      <c r="A437" s="221"/>
    </row>
    <row r="438" spans="1:1" x14ac:dyDescent="0.2">
      <c r="A438" s="221"/>
    </row>
    <row r="439" spans="1:1" x14ac:dyDescent="0.2">
      <c r="A439" s="221"/>
    </row>
    <row r="440" spans="1:1" x14ac:dyDescent="0.2">
      <c r="A440" s="221"/>
    </row>
    <row r="441" spans="1:1" x14ac:dyDescent="0.2">
      <c r="A441" s="221"/>
    </row>
    <row r="442" spans="1:1" x14ac:dyDescent="0.2">
      <c r="A442" s="221"/>
    </row>
    <row r="443" spans="1:1" x14ac:dyDescent="0.2">
      <c r="A443" s="221"/>
    </row>
    <row r="444" spans="1:1" x14ac:dyDescent="0.2">
      <c r="A444" s="221"/>
    </row>
    <row r="445" spans="1:1" x14ac:dyDescent="0.2">
      <c r="A445" s="221"/>
    </row>
    <row r="446" spans="1:1" x14ac:dyDescent="0.2">
      <c r="A446" s="221"/>
    </row>
    <row r="447" spans="1:1" x14ac:dyDescent="0.2">
      <c r="A447" s="221"/>
    </row>
    <row r="448" spans="1:1" x14ac:dyDescent="0.2">
      <c r="A448" s="221"/>
    </row>
    <row r="449" spans="1:1" x14ac:dyDescent="0.2">
      <c r="A449" s="221"/>
    </row>
    <row r="450" spans="1:1" x14ac:dyDescent="0.2">
      <c r="A450" s="221"/>
    </row>
    <row r="451" spans="1:1" x14ac:dyDescent="0.2">
      <c r="A451" s="221"/>
    </row>
    <row r="452" spans="1:1" x14ac:dyDescent="0.2">
      <c r="A452" s="221"/>
    </row>
    <row r="453" spans="1:1" x14ac:dyDescent="0.2">
      <c r="A453" s="221"/>
    </row>
    <row r="454" spans="1:1" x14ac:dyDescent="0.2">
      <c r="A454" s="221"/>
    </row>
    <row r="455" spans="1:1" x14ac:dyDescent="0.2">
      <c r="A455" s="221"/>
    </row>
    <row r="456" spans="1:1" x14ac:dyDescent="0.2">
      <c r="A456" s="221"/>
    </row>
    <row r="457" spans="1:1" x14ac:dyDescent="0.2">
      <c r="A457" s="221"/>
    </row>
    <row r="458" spans="1:1" x14ac:dyDescent="0.2">
      <c r="A458" s="221"/>
    </row>
    <row r="459" spans="1:1" x14ac:dyDescent="0.2">
      <c r="A459" s="221"/>
    </row>
    <row r="460" spans="1:1" x14ac:dyDescent="0.2">
      <c r="A460" s="221"/>
    </row>
    <row r="461" spans="1:1" x14ac:dyDescent="0.2">
      <c r="A461" s="221"/>
    </row>
    <row r="462" spans="1:1" x14ac:dyDescent="0.2">
      <c r="A462" s="221"/>
    </row>
    <row r="463" spans="1:1" x14ac:dyDescent="0.2">
      <c r="A463" s="221"/>
    </row>
    <row r="464" spans="1:1" x14ac:dyDescent="0.2">
      <c r="A464" s="221"/>
    </row>
    <row r="465" spans="1:1" x14ac:dyDescent="0.2">
      <c r="A465" s="221"/>
    </row>
    <row r="466" spans="1:1" x14ac:dyDescent="0.2">
      <c r="A466" s="221"/>
    </row>
    <row r="467" spans="1:1" x14ac:dyDescent="0.2">
      <c r="A467" s="221"/>
    </row>
    <row r="468" spans="1:1" x14ac:dyDescent="0.2">
      <c r="A468" s="221"/>
    </row>
    <row r="469" spans="1:1" x14ac:dyDescent="0.2">
      <c r="A469" s="221"/>
    </row>
    <row r="470" spans="1:1" x14ac:dyDescent="0.2">
      <c r="A470" s="221"/>
    </row>
    <row r="471" spans="1:1" x14ac:dyDescent="0.2">
      <c r="A471" s="221"/>
    </row>
    <row r="472" spans="1:1" x14ac:dyDescent="0.2">
      <c r="A472" s="221"/>
    </row>
    <row r="473" spans="1:1" x14ac:dyDescent="0.2">
      <c r="A473" s="221"/>
    </row>
    <row r="474" spans="1:1" x14ac:dyDescent="0.2">
      <c r="A474" s="221"/>
    </row>
    <row r="475" spans="1:1" x14ac:dyDescent="0.2">
      <c r="A475" s="221"/>
    </row>
    <row r="476" spans="1:1" x14ac:dyDescent="0.2">
      <c r="A476" s="221"/>
    </row>
    <row r="477" spans="1:1" x14ac:dyDescent="0.2">
      <c r="A477" s="221"/>
    </row>
    <row r="478" spans="1:1" x14ac:dyDescent="0.2">
      <c r="A478" s="221"/>
    </row>
    <row r="479" spans="1:1" x14ac:dyDescent="0.2">
      <c r="A479" s="221"/>
    </row>
    <row r="480" spans="1:1" x14ac:dyDescent="0.2">
      <c r="A480" s="221"/>
    </row>
    <row r="481" spans="1:1" x14ac:dyDescent="0.2">
      <c r="A481" s="221"/>
    </row>
    <row r="482" spans="1:1" x14ac:dyDescent="0.2">
      <c r="A482" s="221"/>
    </row>
    <row r="483" spans="1:1" x14ac:dyDescent="0.2">
      <c r="A483" s="221"/>
    </row>
    <row r="484" spans="1:1" x14ac:dyDescent="0.2">
      <c r="A484" s="221"/>
    </row>
    <row r="485" spans="1:1" x14ac:dyDescent="0.2">
      <c r="A485" s="221"/>
    </row>
    <row r="486" spans="1:1" x14ac:dyDescent="0.2">
      <c r="A486" s="221"/>
    </row>
    <row r="487" spans="1:1" x14ac:dyDescent="0.2">
      <c r="A487" s="221"/>
    </row>
    <row r="488" spans="1:1" x14ac:dyDescent="0.2">
      <c r="A488" s="221"/>
    </row>
    <row r="489" spans="1:1" x14ac:dyDescent="0.2">
      <c r="A489" s="221"/>
    </row>
    <row r="490" spans="1:1" x14ac:dyDescent="0.2">
      <c r="A490" s="221"/>
    </row>
    <row r="491" spans="1:1" x14ac:dyDescent="0.2">
      <c r="A491" s="221"/>
    </row>
    <row r="492" spans="1:1" x14ac:dyDescent="0.2">
      <c r="A492" s="221"/>
    </row>
    <row r="493" spans="1:1" x14ac:dyDescent="0.2">
      <c r="A493" s="221"/>
    </row>
    <row r="494" spans="1:1" x14ac:dyDescent="0.2">
      <c r="A494" s="221"/>
    </row>
    <row r="495" spans="1:1" x14ac:dyDescent="0.2">
      <c r="A495" s="221"/>
    </row>
    <row r="496" spans="1:1" x14ac:dyDescent="0.2">
      <c r="A496" s="221"/>
    </row>
    <row r="497" spans="1:1" x14ac:dyDescent="0.2">
      <c r="A497" s="221"/>
    </row>
    <row r="498" spans="1:1" x14ac:dyDescent="0.2">
      <c r="A498" s="221"/>
    </row>
    <row r="499" spans="1:1" x14ac:dyDescent="0.2">
      <c r="A499" s="221"/>
    </row>
    <row r="500" spans="1:1" x14ac:dyDescent="0.2">
      <c r="A500" s="221"/>
    </row>
    <row r="501" spans="1:1" x14ac:dyDescent="0.2">
      <c r="A501" s="221"/>
    </row>
    <row r="502" spans="1:1" x14ac:dyDescent="0.2">
      <c r="A502" s="221"/>
    </row>
    <row r="503" spans="1:1" x14ac:dyDescent="0.2">
      <c r="A503" s="221"/>
    </row>
    <row r="504" spans="1:1" x14ac:dyDescent="0.2">
      <c r="A504" s="221"/>
    </row>
    <row r="505" spans="1:1" x14ac:dyDescent="0.2">
      <c r="A505" s="221"/>
    </row>
    <row r="506" spans="1:1" x14ac:dyDescent="0.2">
      <c r="A506" s="221"/>
    </row>
    <row r="507" spans="1:1" x14ac:dyDescent="0.2">
      <c r="A507" s="221"/>
    </row>
    <row r="508" spans="1:1" x14ac:dyDescent="0.2">
      <c r="A508" s="221"/>
    </row>
    <row r="509" spans="1:1" x14ac:dyDescent="0.2">
      <c r="A509" s="221"/>
    </row>
    <row r="510" spans="1:1" x14ac:dyDescent="0.2">
      <c r="A510" s="221"/>
    </row>
    <row r="511" spans="1:1" x14ac:dyDescent="0.2">
      <c r="A511" s="221"/>
    </row>
    <row r="512" spans="1:1" x14ac:dyDescent="0.2">
      <c r="A512" s="221"/>
    </row>
    <row r="513" spans="1:1" x14ac:dyDescent="0.2">
      <c r="A513" s="221"/>
    </row>
    <row r="514" spans="1:1" x14ac:dyDescent="0.2">
      <c r="A514" s="221"/>
    </row>
    <row r="515" spans="1:1" x14ac:dyDescent="0.2">
      <c r="A515" s="221"/>
    </row>
    <row r="516" spans="1:1" x14ac:dyDescent="0.2">
      <c r="A516" s="221"/>
    </row>
    <row r="517" spans="1:1" x14ac:dyDescent="0.2">
      <c r="A517" s="221"/>
    </row>
    <row r="518" spans="1:1" x14ac:dyDescent="0.2">
      <c r="A518" s="221"/>
    </row>
    <row r="519" spans="1:1" x14ac:dyDescent="0.2">
      <c r="A519" s="221"/>
    </row>
    <row r="520" spans="1:1" x14ac:dyDescent="0.2">
      <c r="A520" s="221"/>
    </row>
    <row r="521" spans="1:1" x14ac:dyDescent="0.2">
      <c r="A521" s="221"/>
    </row>
    <row r="522" spans="1:1" x14ac:dyDescent="0.2">
      <c r="A522" s="221"/>
    </row>
    <row r="523" spans="1:1" x14ac:dyDescent="0.2">
      <c r="A523" s="221"/>
    </row>
    <row r="524" spans="1:1" x14ac:dyDescent="0.2">
      <c r="A524" s="221"/>
    </row>
    <row r="525" spans="1:1" x14ac:dyDescent="0.2">
      <c r="A525" s="221"/>
    </row>
    <row r="526" spans="1:1" x14ac:dyDescent="0.2">
      <c r="A526" s="221"/>
    </row>
    <row r="527" spans="1:1" x14ac:dyDescent="0.2">
      <c r="A527" s="221"/>
    </row>
    <row r="528" spans="1:1" x14ac:dyDescent="0.2">
      <c r="A528" s="221"/>
    </row>
    <row r="529" spans="1:1" x14ac:dyDescent="0.2">
      <c r="A529" s="221"/>
    </row>
    <row r="530" spans="1:1" x14ac:dyDescent="0.2">
      <c r="A530" s="221"/>
    </row>
    <row r="531" spans="1:1" x14ac:dyDescent="0.2">
      <c r="A531" s="221"/>
    </row>
    <row r="532" spans="1:1" x14ac:dyDescent="0.2">
      <c r="A532" s="221"/>
    </row>
    <row r="533" spans="1:1" x14ac:dyDescent="0.2">
      <c r="A533" s="221"/>
    </row>
    <row r="534" spans="1:1" x14ac:dyDescent="0.2">
      <c r="A534" s="221"/>
    </row>
    <row r="535" spans="1:1" x14ac:dyDescent="0.2">
      <c r="A535" s="221"/>
    </row>
    <row r="536" spans="1:1" x14ac:dyDescent="0.2">
      <c r="A536" s="221"/>
    </row>
    <row r="537" spans="1:1" x14ac:dyDescent="0.2">
      <c r="A537" s="221"/>
    </row>
    <row r="538" spans="1:1" x14ac:dyDescent="0.2">
      <c r="A538" s="221"/>
    </row>
    <row r="539" spans="1:1" x14ac:dyDescent="0.2">
      <c r="A539" s="221"/>
    </row>
    <row r="540" spans="1:1" x14ac:dyDescent="0.2">
      <c r="A540" s="221"/>
    </row>
    <row r="541" spans="1:1" x14ac:dyDescent="0.2">
      <c r="A541" s="221"/>
    </row>
    <row r="542" spans="1:1" x14ac:dyDescent="0.2">
      <c r="A542" s="221"/>
    </row>
    <row r="543" spans="1:1" x14ac:dyDescent="0.2">
      <c r="A543" s="221"/>
    </row>
    <row r="544" spans="1:1" x14ac:dyDescent="0.2">
      <c r="A544" s="221"/>
    </row>
    <row r="545" spans="1:1" x14ac:dyDescent="0.2">
      <c r="A545" s="221"/>
    </row>
    <row r="546" spans="1:1" x14ac:dyDescent="0.2">
      <c r="A546" s="221"/>
    </row>
    <row r="547" spans="1:1" x14ac:dyDescent="0.2">
      <c r="A547" s="221"/>
    </row>
    <row r="548" spans="1:1" x14ac:dyDescent="0.2">
      <c r="A548" s="221"/>
    </row>
    <row r="549" spans="1:1" x14ac:dyDescent="0.2">
      <c r="A549" s="221"/>
    </row>
    <row r="550" spans="1:1" x14ac:dyDescent="0.2">
      <c r="A550" s="221"/>
    </row>
    <row r="551" spans="1:1" x14ac:dyDescent="0.2">
      <c r="A551" s="221"/>
    </row>
    <row r="552" spans="1:1" x14ac:dyDescent="0.2">
      <c r="A552" s="221"/>
    </row>
    <row r="553" spans="1:1" x14ac:dyDescent="0.2">
      <c r="A553" s="221"/>
    </row>
    <row r="554" spans="1:1" x14ac:dyDescent="0.2">
      <c r="A554" s="221"/>
    </row>
    <row r="555" spans="1:1" x14ac:dyDescent="0.2">
      <c r="A555" s="221"/>
    </row>
    <row r="556" spans="1:1" x14ac:dyDescent="0.2">
      <c r="A556" s="221"/>
    </row>
    <row r="557" spans="1:1" x14ac:dyDescent="0.2">
      <c r="A557" s="221"/>
    </row>
    <row r="558" spans="1:1" x14ac:dyDescent="0.2">
      <c r="A558" s="221"/>
    </row>
    <row r="559" spans="1:1" x14ac:dyDescent="0.2">
      <c r="A559" s="221"/>
    </row>
    <row r="560" spans="1:1" x14ac:dyDescent="0.2">
      <c r="A560" s="221"/>
    </row>
    <row r="561" spans="1:1" x14ac:dyDescent="0.2">
      <c r="A561" s="221"/>
    </row>
    <row r="562" spans="1:1" x14ac:dyDescent="0.2">
      <c r="A562" s="221"/>
    </row>
    <row r="563" spans="1:1" x14ac:dyDescent="0.2">
      <c r="A563" s="221"/>
    </row>
    <row r="564" spans="1:1" x14ac:dyDescent="0.2">
      <c r="A564" s="221"/>
    </row>
    <row r="565" spans="1:1" x14ac:dyDescent="0.2">
      <c r="A565" s="221"/>
    </row>
    <row r="566" spans="1:1" x14ac:dyDescent="0.2">
      <c r="A566" s="221"/>
    </row>
    <row r="567" spans="1:1" x14ac:dyDescent="0.2">
      <c r="A567" s="221"/>
    </row>
    <row r="568" spans="1:1" x14ac:dyDescent="0.2">
      <c r="A568" s="221"/>
    </row>
    <row r="569" spans="1:1" x14ac:dyDescent="0.2">
      <c r="A569" s="221"/>
    </row>
    <row r="570" spans="1:1" x14ac:dyDescent="0.2">
      <c r="A570" s="221"/>
    </row>
    <row r="571" spans="1:1" x14ac:dyDescent="0.2">
      <c r="A571" s="221"/>
    </row>
    <row r="572" spans="1:1" x14ac:dyDescent="0.2">
      <c r="A572" s="221"/>
    </row>
    <row r="573" spans="1:1" x14ac:dyDescent="0.2">
      <c r="A573" s="221"/>
    </row>
    <row r="574" spans="1:1" x14ac:dyDescent="0.2">
      <c r="A574" s="221"/>
    </row>
    <row r="575" spans="1:1" x14ac:dyDescent="0.2">
      <c r="A575" s="221"/>
    </row>
    <row r="576" spans="1:1" x14ac:dyDescent="0.2">
      <c r="A576" s="221"/>
    </row>
    <row r="577" spans="1:1" x14ac:dyDescent="0.2">
      <c r="A577" s="221"/>
    </row>
    <row r="578" spans="1:1" x14ac:dyDescent="0.2">
      <c r="A578" s="221"/>
    </row>
    <row r="579" spans="1:1" x14ac:dyDescent="0.2">
      <c r="A579" s="221"/>
    </row>
    <row r="580" spans="1:1" x14ac:dyDescent="0.2">
      <c r="A580" s="221"/>
    </row>
    <row r="581" spans="1:1" x14ac:dyDescent="0.2">
      <c r="A581" s="221"/>
    </row>
    <row r="582" spans="1:1" x14ac:dyDescent="0.2">
      <c r="A582" s="221"/>
    </row>
    <row r="583" spans="1:1" x14ac:dyDescent="0.2">
      <c r="A583" s="221"/>
    </row>
    <row r="584" spans="1:1" x14ac:dyDescent="0.2">
      <c r="A584" s="221"/>
    </row>
    <row r="585" spans="1:1" x14ac:dyDescent="0.2">
      <c r="A585" s="221"/>
    </row>
    <row r="586" spans="1:1" x14ac:dyDescent="0.2">
      <c r="A586" s="221"/>
    </row>
    <row r="587" spans="1:1" x14ac:dyDescent="0.2">
      <c r="A587" s="221"/>
    </row>
    <row r="588" spans="1:1" x14ac:dyDescent="0.2">
      <c r="A588" s="221"/>
    </row>
    <row r="589" spans="1:1" x14ac:dyDescent="0.2">
      <c r="A589" s="221"/>
    </row>
    <row r="590" spans="1:1" x14ac:dyDescent="0.2">
      <c r="A590" s="221"/>
    </row>
    <row r="591" spans="1:1" x14ac:dyDescent="0.2">
      <c r="A591" s="221"/>
    </row>
    <row r="592" spans="1:1" x14ac:dyDescent="0.2">
      <c r="A592" s="221"/>
    </row>
    <row r="593" spans="1:1" x14ac:dyDescent="0.2">
      <c r="A593" s="221"/>
    </row>
    <row r="594" spans="1:1" x14ac:dyDescent="0.2">
      <c r="A594" s="221"/>
    </row>
    <row r="595" spans="1:1" x14ac:dyDescent="0.2">
      <c r="A595" s="221"/>
    </row>
    <row r="596" spans="1:1" x14ac:dyDescent="0.2">
      <c r="A596" s="221"/>
    </row>
    <row r="597" spans="1:1" x14ac:dyDescent="0.2">
      <c r="A597" s="221"/>
    </row>
    <row r="598" spans="1:1" x14ac:dyDescent="0.2">
      <c r="A598" s="221"/>
    </row>
    <row r="599" spans="1:1" x14ac:dyDescent="0.2">
      <c r="A599" s="221"/>
    </row>
    <row r="600" spans="1:1" x14ac:dyDescent="0.2">
      <c r="A600" s="221"/>
    </row>
    <row r="601" spans="1:1" x14ac:dyDescent="0.2">
      <c r="A601" s="221"/>
    </row>
    <row r="602" spans="1:1" x14ac:dyDescent="0.2">
      <c r="A602" s="221"/>
    </row>
    <row r="603" spans="1:1" x14ac:dyDescent="0.2">
      <c r="A603" s="221"/>
    </row>
    <row r="604" spans="1:1" x14ac:dyDescent="0.2">
      <c r="A604" s="221"/>
    </row>
    <row r="605" spans="1:1" x14ac:dyDescent="0.2">
      <c r="A605" s="221"/>
    </row>
    <row r="606" spans="1:1" x14ac:dyDescent="0.2">
      <c r="A606" s="221"/>
    </row>
    <row r="607" spans="1:1" x14ac:dyDescent="0.2">
      <c r="A607" s="221"/>
    </row>
    <row r="608" spans="1:1" x14ac:dyDescent="0.2">
      <c r="A608" s="221"/>
    </row>
    <row r="609" spans="1:1" x14ac:dyDescent="0.2">
      <c r="A609" s="221"/>
    </row>
    <row r="610" spans="1:1" x14ac:dyDescent="0.2">
      <c r="A610" s="221"/>
    </row>
    <row r="611" spans="1:1" x14ac:dyDescent="0.2">
      <c r="A611" s="221"/>
    </row>
    <row r="612" spans="1:1" x14ac:dyDescent="0.2">
      <c r="A612" s="221"/>
    </row>
    <row r="613" spans="1:1" x14ac:dyDescent="0.2">
      <c r="A613" s="221"/>
    </row>
    <row r="614" spans="1:1" x14ac:dyDescent="0.2">
      <c r="A614" s="221"/>
    </row>
    <row r="615" spans="1:1" x14ac:dyDescent="0.2">
      <c r="A615" s="221"/>
    </row>
    <row r="616" spans="1:1" x14ac:dyDescent="0.2">
      <c r="A616" s="221"/>
    </row>
    <row r="617" spans="1:1" x14ac:dyDescent="0.2">
      <c r="A617" s="221"/>
    </row>
    <row r="618" spans="1:1" x14ac:dyDescent="0.2">
      <c r="A618" s="221"/>
    </row>
    <row r="619" spans="1:1" x14ac:dyDescent="0.2">
      <c r="A619" s="221"/>
    </row>
    <row r="620" spans="1:1" x14ac:dyDescent="0.2">
      <c r="A620" s="221"/>
    </row>
    <row r="621" spans="1:1" x14ac:dyDescent="0.2">
      <c r="A621" s="221"/>
    </row>
    <row r="622" spans="1:1" x14ac:dyDescent="0.2">
      <c r="A622" s="221"/>
    </row>
    <row r="623" spans="1:1" x14ac:dyDescent="0.2">
      <c r="A623" s="221"/>
    </row>
    <row r="624" spans="1:1" x14ac:dyDescent="0.2">
      <c r="A624" s="221"/>
    </row>
    <row r="625" spans="1:1" x14ac:dyDescent="0.2">
      <c r="A625" s="221"/>
    </row>
    <row r="626" spans="1:1" x14ac:dyDescent="0.2">
      <c r="A626" s="221"/>
    </row>
    <row r="627" spans="1:1" x14ac:dyDescent="0.2">
      <c r="A627" s="221"/>
    </row>
    <row r="628" spans="1:1" x14ac:dyDescent="0.2">
      <c r="A628" s="221"/>
    </row>
    <row r="629" spans="1:1" x14ac:dyDescent="0.2">
      <c r="A629" s="221"/>
    </row>
    <row r="630" spans="1:1" x14ac:dyDescent="0.2">
      <c r="A630" s="221"/>
    </row>
    <row r="631" spans="1:1" x14ac:dyDescent="0.2">
      <c r="A631" s="221"/>
    </row>
    <row r="632" spans="1:1" x14ac:dyDescent="0.2">
      <c r="A632" s="221"/>
    </row>
    <row r="633" spans="1:1" x14ac:dyDescent="0.2">
      <c r="A633" s="221"/>
    </row>
    <row r="634" spans="1:1" x14ac:dyDescent="0.2">
      <c r="A634" s="221"/>
    </row>
    <row r="635" spans="1:1" x14ac:dyDescent="0.2">
      <c r="A635" s="221"/>
    </row>
    <row r="636" spans="1:1" x14ac:dyDescent="0.2">
      <c r="A636" s="221"/>
    </row>
    <row r="637" spans="1:1" x14ac:dyDescent="0.2">
      <c r="A637" s="221"/>
    </row>
    <row r="638" spans="1:1" x14ac:dyDescent="0.2">
      <c r="A638" s="221"/>
    </row>
    <row r="639" spans="1:1" x14ac:dyDescent="0.2">
      <c r="A639" s="221"/>
    </row>
    <row r="640" spans="1:1" x14ac:dyDescent="0.2">
      <c r="A640" s="221"/>
    </row>
    <row r="641" spans="1:1" x14ac:dyDescent="0.2">
      <c r="A641" s="221"/>
    </row>
    <row r="642" spans="1:1" x14ac:dyDescent="0.2">
      <c r="A642" s="221"/>
    </row>
    <row r="643" spans="1:1" x14ac:dyDescent="0.2">
      <c r="A643" s="221"/>
    </row>
    <row r="644" spans="1:1" x14ac:dyDescent="0.2">
      <c r="A644" s="221"/>
    </row>
    <row r="645" spans="1:1" x14ac:dyDescent="0.2">
      <c r="A645" s="221"/>
    </row>
    <row r="646" spans="1:1" x14ac:dyDescent="0.2">
      <c r="A646" s="221"/>
    </row>
    <row r="647" spans="1:1" x14ac:dyDescent="0.2">
      <c r="A647" s="221"/>
    </row>
    <row r="648" spans="1:1" x14ac:dyDescent="0.2">
      <c r="A648" s="221"/>
    </row>
    <row r="649" spans="1:1" x14ac:dyDescent="0.2">
      <c r="A649" s="221"/>
    </row>
    <row r="650" spans="1:1" x14ac:dyDescent="0.2">
      <c r="A650" s="221"/>
    </row>
    <row r="651" spans="1:1" x14ac:dyDescent="0.2">
      <c r="A651" s="221"/>
    </row>
    <row r="652" spans="1:1" x14ac:dyDescent="0.2">
      <c r="A652" s="221"/>
    </row>
    <row r="653" spans="1:1" x14ac:dyDescent="0.2">
      <c r="A653" s="221"/>
    </row>
    <row r="654" spans="1:1" x14ac:dyDescent="0.2">
      <c r="A654" s="221"/>
    </row>
    <row r="655" spans="1:1" x14ac:dyDescent="0.2">
      <c r="A655" s="221"/>
    </row>
    <row r="656" spans="1:1" x14ac:dyDescent="0.2">
      <c r="A656" s="221"/>
    </row>
    <row r="657" spans="1:1" x14ac:dyDescent="0.2">
      <c r="A657" s="221"/>
    </row>
    <row r="658" spans="1:1" x14ac:dyDescent="0.2">
      <c r="A658" s="221"/>
    </row>
    <row r="659" spans="1:1" x14ac:dyDescent="0.2">
      <c r="A659" s="221"/>
    </row>
    <row r="660" spans="1:1" x14ac:dyDescent="0.2">
      <c r="A660" s="221"/>
    </row>
    <row r="661" spans="1:1" x14ac:dyDescent="0.2">
      <c r="A661" s="221"/>
    </row>
    <row r="662" spans="1:1" x14ac:dyDescent="0.2">
      <c r="A662" s="221"/>
    </row>
    <row r="663" spans="1:1" x14ac:dyDescent="0.2">
      <c r="A663" s="221"/>
    </row>
    <row r="664" spans="1:1" x14ac:dyDescent="0.2">
      <c r="A664" s="221"/>
    </row>
    <row r="665" spans="1:1" x14ac:dyDescent="0.2">
      <c r="A665" s="221"/>
    </row>
    <row r="666" spans="1:1" x14ac:dyDescent="0.2">
      <c r="A666" s="221"/>
    </row>
    <row r="667" spans="1:1" x14ac:dyDescent="0.2">
      <c r="A667" s="221"/>
    </row>
    <row r="668" spans="1:1" x14ac:dyDescent="0.2">
      <c r="A668" s="221"/>
    </row>
    <row r="669" spans="1:1" x14ac:dyDescent="0.2">
      <c r="A669" s="221"/>
    </row>
    <row r="670" spans="1:1" x14ac:dyDescent="0.2">
      <c r="A670" s="221"/>
    </row>
    <row r="671" spans="1:1" x14ac:dyDescent="0.2">
      <c r="A671" s="221"/>
    </row>
    <row r="672" spans="1:1" x14ac:dyDescent="0.2">
      <c r="A672" s="221"/>
    </row>
    <row r="673" spans="1:1" x14ac:dyDescent="0.2">
      <c r="A673" s="221"/>
    </row>
    <row r="674" spans="1:1" x14ac:dyDescent="0.2">
      <c r="A674" s="221"/>
    </row>
    <row r="675" spans="1:1" x14ac:dyDescent="0.2">
      <c r="A675" s="221"/>
    </row>
    <row r="676" spans="1:1" x14ac:dyDescent="0.2">
      <c r="A676" s="221"/>
    </row>
    <row r="677" spans="1:1" x14ac:dyDescent="0.2">
      <c r="A677" s="221"/>
    </row>
    <row r="678" spans="1:1" x14ac:dyDescent="0.2">
      <c r="A678" s="221"/>
    </row>
    <row r="679" spans="1:1" x14ac:dyDescent="0.2">
      <c r="A679" s="221"/>
    </row>
    <row r="680" spans="1:1" x14ac:dyDescent="0.2">
      <c r="A680" s="221"/>
    </row>
    <row r="681" spans="1:1" x14ac:dyDescent="0.2">
      <c r="A681" s="221"/>
    </row>
    <row r="682" spans="1:1" x14ac:dyDescent="0.2">
      <c r="A682" s="221"/>
    </row>
    <row r="683" spans="1:1" x14ac:dyDescent="0.2">
      <c r="A683" s="221"/>
    </row>
    <row r="684" spans="1:1" x14ac:dyDescent="0.2">
      <c r="A684" s="221"/>
    </row>
    <row r="685" spans="1:1" x14ac:dyDescent="0.2">
      <c r="A685" s="221"/>
    </row>
    <row r="686" spans="1:1" x14ac:dyDescent="0.2">
      <c r="A686" s="221"/>
    </row>
    <row r="687" spans="1:1" x14ac:dyDescent="0.2">
      <c r="A687" s="221"/>
    </row>
    <row r="688" spans="1:1" x14ac:dyDescent="0.2">
      <c r="A688" s="221"/>
    </row>
    <row r="689" spans="1:1" x14ac:dyDescent="0.2">
      <c r="A689" s="221"/>
    </row>
    <row r="690" spans="1:1" x14ac:dyDescent="0.2">
      <c r="A690" s="221"/>
    </row>
    <row r="691" spans="1:1" x14ac:dyDescent="0.2">
      <c r="A691" s="221"/>
    </row>
    <row r="692" spans="1:1" x14ac:dyDescent="0.2">
      <c r="A692" s="221"/>
    </row>
    <row r="693" spans="1:1" x14ac:dyDescent="0.2">
      <c r="A693" s="221"/>
    </row>
    <row r="694" spans="1:1" x14ac:dyDescent="0.2">
      <c r="A694" s="221"/>
    </row>
    <row r="695" spans="1:1" x14ac:dyDescent="0.2">
      <c r="A695" s="221"/>
    </row>
    <row r="696" spans="1:1" x14ac:dyDescent="0.2">
      <c r="A696" s="221"/>
    </row>
    <row r="697" spans="1:1" x14ac:dyDescent="0.2">
      <c r="A697" s="221"/>
    </row>
    <row r="698" spans="1:1" x14ac:dyDescent="0.2">
      <c r="A698" s="221"/>
    </row>
  </sheetData>
  <customSheetViews>
    <customSheetView guid="{FF09F429-7712-42C4-8E8D-F960CD33567E}" scale="75" showAutoFilter="1">
      <pane xSplit="4" ySplit="7" topLeftCell="E306" activePane="bottomRight" state="frozen"/>
      <selection pane="bottomRight" activeCell="B399" sqref="B399"/>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pageMargins left="0.27" right="0.16" top="0.17" bottom="0.26" header="0.28999999999999998" footer="0.17"/>
      <printOptions horizontalCentered="1"/>
      <pageSetup scale="75" orientation="landscape" r:id="rId1"/>
      <headerFooter alignWithMargins="0"/>
      <autoFilter ref="A74:N400"/>
    </customSheetView>
    <customSheetView guid="{40BC2F83-0811-4ECE-99F8-980F9280326A}" scale="75" filter="1" showAutoFilter="1">
      <pane xSplit="4" ySplit="7" topLeftCell="E56" activePane="bottomRight" state="frozen"/>
      <selection pane="bottomRight" activeCell="H208" sqref="H208"/>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pageMargins left="0.27" right="0.16" top="0.17" bottom="0.26" header="0.28999999999999998" footer="0.17"/>
      <printOptions horizontalCentered="1"/>
      <pageSetup scale="75" orientation="landscape" r:id="rId2"/>
      <headerFooter alignWithMargins="0"/>
      <autoFilter ref="A74:N400">
        <filterColumn colId="10">
          <filters>
            <filter val="Staffing model"/>
          </filters>
        </filterColumn>
      </autoFilter>
    </customSheetView>
  </customSheetViews>
  <mergeCells count="19">
    <mergeCell ref="K6:K7"/>
    <mergeCell ref="E6:E7"/>
    <mergeCell ref="F6:F7"/>
    <mergeCell ref="H6:H7"/>
    <mergeCell ref="A4:H4"/>
    <mergeCell ref="G6:G7"/>
    <mergeCell ref="A2:H2"/>
    <mergeCell ref="A38:H38"/>
    <mergeCell ref="B6:D7"/>
    <mergeCell ref="I6:I7"/>
    <mergeCell ref="J6:J7"/>
    <mergeCell ref="Q6:Q7"/>
    <mergeCell ref="R6:R7"/>
    <mergeCell ref="S6:S7"/>
    <mergeCell ref="T6:T7"/>
    <mergeCell ref="M6:M7"/>
    <mergeCell ref="N6:N7"/>
    <mergeCell ref="O6:O7"/>
    <mergeCell ref="P6:P7"/>
  </mergeCells>
  <phoneticPr fontId="0" type="noConversion"/>
  <printOptions horizontalCentered="1"/>
  <pageMargins left="0.27" right="0.16" top="0.17" bottom="0.26" header="0.28999999999999998" footer="0.17"/>
  <pageSetup scale="75" orientation="landscape" r:id="rId3"/>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ignoredErrors>
    <ignoredError sqref="G160" formula="1"/>
    <ignoredError sqref="I20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K698"/>
  <sheetViews>
    <sheetView zoomScale="75" zoomScaleNormal="100" workbookViewId="0">
      <pane xSplit="4" ySplit="7" topLeftCell="E8" activePane="bottomRight" state="frozen"/>
      <selection activeCell="A74" sqref="A74:N74"/>
      <selection pane="topRight" activeCell="A74" sqref="A74:N74"/>
      <selection pane="bottomLeft" activeCell="A74" sqref="A74:N74"/>
      <selection pane="bottomRight" activeCell="E8" sqref="E8"/>
    </sheetView>
  </sheetViews>
  <sheetFormatPr defaultColWidth="9.140625" defaultRowHeight="14.25" x14ac:dyDescent="0.2"/>
  <cols>
    <col min="1" max="1" width="4.140625" style="33" customWidth="1"/>
    <col min="2" max="2" width="5.42578125" style="14" customWidth="1"/>
    <col min="3" max="3" width="4.5703125" style="14" customWidth="1"/>
    <col min="4" max="4" width="48.7109375" style="505" customWidth="1"/>
    <col min="5" max="5" width="7.42578125" style="4" customWidth="1"/>
    <col min="6" max="6" width="10.140625" style="4" customWidth="1"/>
    <col min="7" max="7" width="14.28515625" style="265" customWidth="1"/>
    <col min="8" max="8" width="92.140625" style="282" customWidth="1"/>
    <col min="9" max="9" width="11.7109375" style="14" customWidth="1"/>
    <col min="10" max="10" width="11.5703125" style="14" customWidth="1"/>
    <col min="11" max="11" width="15.7109375" style="14" customWidth="1"/>
    <col min="12" max="12" width="12.7109375" style="14" bestFit="1" customWidth="1"/>
    <col min="13" max="13" width="27" style="14" bestFit="1" customWidth="1"/>
    <col min="14" max="22" width="11.5703125" style="14" customWidth="1"/>
    <col min="23" max="32" width="11.5703125" style="505" customWidth="1"/>
    <col min="33" max="16384" width="9.140625" style="505"/>
  </cols>
  <sheetData>
    <row r="1" spans="1:37" ht="33.75" customHeight="1" x14ac:dyDescent="0.25">
      <c r="A1" s="507" t="s">
        <v>313</v>
      </c>
      <c r="B1" s="337"/>
      <c r="C1" s="337"/>
      <c r="D1" s="339" t="str">
        <f>'Startup Statement of Activities'!$D$1</f>
        <v>KIPP New Orleans</v>
      </c>
      <c r="E1" s="6"/>
      <c r="F1" s="6"/>
      <c r="G1" s="263"/>
      <c r="H1" s="273"/>
      <c r="I1" s="22"/>
      <c r="J1" s="22"/>
      <c r="K1" s="22"/>
      <c r="L1" s="22"/>
    </row>
    <row r="2" spans="1:37" ht="18" customHeight="1" x14ac:dyDescent="0.25">
      <c r="A2" s="653" t="s">
        <v>482</v>
      </c>
      <c r="B2" s="653"/>
      <c r="C2" s="653"/>
      <c r="D2" s="653"/>
      <c r="E2" s="653"/>
      <c r="F2" s="653"/>
      <c r="G2" s="653"/>
      <c r="H2" s="653"/>
      <c r="I2" s="246"/>
      <c r="J2" s="246"/>
      <c r="K2" s="246"/>
      <c r="L2" s="246"/>
      <c r="M2" s="246"/>
      <c r="N2" s="246"/>
      <c r="O2" s="246"/>
      <c r="P2" s="246"/>
      <c r="Q2" s="246"/>
      <c r="R2" s="246"/>
      <c r="S2" s="246"/>
      <c r="T2" s="246"/>
    </row>
    <row r="3" spans="1:37" ht="18" customHeight="1" x14ac:dyDescent="0.25">
      <c r="A3" s="510"/>
      <c r="B3" s="510"/>
      <c r="C3" s="510"/>
      <c r="D3" s="510"/>
      <c r="E3" s="510"/>
      <c r="F3" s="510"/>
      <c r="G3" s="510"/>
      <c r="H3" s="510"/>
      <c r="I3" s="246"/>
      <c r="J3" s="246"/>
      <c r="K3" s="246"/>
      <c r="L3" s="246"/>
      <c r="M3" s="246"/>
      <c r="N3" s="246"/>
      <c r="O3" s="246"/>
      <c r="P3" s="246"/>
      <c r="Q3" s="246"/>
      <c r="R3" s="246"/>
      <c r="S3" s="246"/>
      <c r="T3" s="246"/>
    </row>
    <row r="4" spans="1:37" ht="35.25" customHeight="1" x14ac:dyDescent="0.25">
      <c r="A4" s="661" t="s">
        <v>361</v>
      </c>
      <c r="B4" s="662"/>
      <c r="C4" s="662"/>
      <c r="D4" s="662"/>
      <c r="E4" s="662"/>
      <c r="F4" s="662"/>
      <c r="G4" s="662"/>
      <c r="H4" s="663"/>
      <c r="I4" s="246"/>
      <c r="J4" s="246"/>
      <c r="K4" s="246"/>
      <c r="L4" s="246"/>
      <c r="M4" s="246"/>
      <c r="N4" s="246"/>
      <c r="O4" s="246"/>
      <c r="P4" s="246"/>
      <c r="Q4" s="246"/>
      <c r="R4" s="246"/>
      <c r="S4" s="246"/>
      <c r="T4" s="246"/>
    </row>
    <row r="5" spans="1:37" ht="18.75" customHeight="1" thickBot="1" x14ac:dyDescent="0.3">
      <c r="A5" s="28"/>
      <c r="B5" s="22"/>
      <c r="C5" s="22"/>
      <c r="D5" s="6"/>
      <c r="E5" s="6"/>
      <c r="F5" s="6"/>
      <c r="G5" s="263"/>
      <c r="H5" s="273"/>
      <c r="I5" s="22"/>
      <c r="J5" s="22"/>
      <c r="K5" s="22"/>
      <c r="L5" s="22"/>
    </row>
    <row r="6" spans="1:37" s="2" customFormat="1" ht="15.75" customHeight="1" thickTop="1" x14ac:dyDescent="0.25">
      <c r="A6" s="29"/>
      <c r="B6" s="641" t="s">
        <v>239</v>
      </c>
      <c r="C6" s="642"/>
      <c r="D6" s="642"/>
      <c r="E6" s="644" t="s">
        <v>232</v>
      </c>
      <c r="F6" s="657" t="s">
        <v>233</v>
      </c>
      <c r="G6" s="664" t="s">
        <v>314</v>
      </c>
      <c r="H6" s="659" t="s">
        <v>315</v>
      </c>
      <c r="I6" s="651"/>
      <c r="J6" s="651"/>
      <c r="K6" s="651"/>
      <c r="L6" s="508"/>
      <c r="M6" s="651"/>
      <c r="N6" s="651"/>
      <c r="O6" s="651"/>
      <c r="P6" s="651"/>
      <c r="Q6" s="649"/>
      <c r="R6" s="649"/>
      <c r="S6" s="649"/>
      <c r="T6" s="649"/>
      <c r="U6" s="239"/>
      <c r="V6" s="239"/>
      <c r="W6" s="239"/>
      <c r="X6" s="239"/>
      <c r="Y6" s="239"/>
      <c r="Z6" s="239"/>
      <c r="AA6" s="239"/>
      <c r="AB6" s="239"/>
      <c r="AC6" s="239"/>
      <c r="AD6" s="239"/>
      <c r="AE6" s="239"/>
      <c r="AF6" s="239"/>
      <c r="AG6" s="239"/>
      <c r="AH6" s="239"/>
      <c r="AI6" s="239"/>
      <c r="AJ6" s="239"/>
      <c r="AK6" s="239"/>
    </row>
    <row r="7" spans="1:37" s="41" customFormat="1" ht="15.75" thickBot="1" x14ac:dyDescent="0.3">
      <c r="A7" s="38"/>
      <c r="B7" s="655"/>
      <c r="C7" s="655"/>
      <c r="D7" s="655"/>
      <c r="E7" s="656"/>
      <c r="F7" s="658"/>
      <c r="G7" s="665"/>
      <c r="H7" s="660"/>
      <c r="I7" s="652"/>
      <c r="J7" s="652"/>
      <c r="K7" s="652"/>
      <c r="L7" s="509"/>
      <c r="M7" s="652"/>
      <c r="N7" s="652"/>
      <c r="O7" s="652"/>
      <c r="P7" s="652"/>
      <c r="Q7" s="650"/>
      <c r="R7" s="650"/>
      <c r="S7" s="650"/>
      <c r="T7" s="650"/>
      <c r="U7" s="239"/>
      <c r="V7" s="239"/>
      <c r="W7" s="239"/>
      <c r="X7" s="239"/>
      <c r="Y7" s="239"/>
      <c r="Z7" s="239"/>
      <c r="AA7" s="239"/>
      <c r="AB7" s="239"/>
      <c r="AC7" s="239"/>
      <c r="AD7" s="239"/>
      <c r="AE7" s="239"/>
      <c r="AF7" s="239"/>
      <c r="AG7" s="239"/>
      <c r="AH7" s="239"/>
      <c r="AI7" s="239"/>
      <c r="AJ7" s="239"/>
      <c r="AK7" s="239"/>
    </row>
    <row r="8" spans="1:37" s="40" customFormat="1" ht="20.25" customHeight="1" thickTop="1" x14ac:dyDescent="0.25">
      <c r="A8" s="39"/>
      <c r="B8" s="42" t="s">
        <v>267</v>
      </c>
      <c r="E8" s="70"/>
      <c r="F8" s="245"/>
      <c r="G8" s="300"/>
      <c r="H8" s="274"/>
      <c r="I8" s="487"/>
      <c r="J8" s="487"/>
      <c r="K8" s="487"/>
      <c r="L8" s="487"/>
      <c r="M8" s="487"/>
      <c r="N8" s="487"/>
      <c r="O8" s="487"/>
      <c r="P8" s="487"/>
      <c r="Q8" s="237"/>
      <c r="R8" s="237"/>
      <c r="S8" s="237"/>
      <c r="T8" s="237"/>
      <c r="U8" s="102"/>
      <c r="V8" s="102"/>
      <c r="W8" s="102"/>
      <c r="X8" s="102"/>
      <c r="Y8" s="102"/>
      <c r="Z8" s="102"/>
      <c r="AA8" s="102"/>
      <c r="AB8" s="102"/>
      <c r="AC8" s="102"/>
      <c r="AD8" s="102"/>
      <c r="AE8" s="102"/>
      <c r="AF8" s="102"/>
      <c r="AG8" s="102"/>
      <c r="AH8" s="102"/>
      <c r="AI8" s="102"/>
      <c r="AJ8" s="102"/>
      <c r="AK8" s="102"/>
    </row>
    <row r="9" spans="1:37" ht="3" customHeight="1" x14ac:dyDescent="0.2">
      <c r="A9" s="30"/>
      <c r="B9" s="36"/>
      <c r="C9" s="13"/>
      <c r="D9" s="13"/>
      <c r="E9" s="72"/>
      <c r="F9" s="157"/>
      <c r="G9" s="301"/>
      <c r="H9" s="275"/>
      <c r="I9" s="487"/>
      <c r="J9" s="487"/>
      <c r="K9" s="487"/>
      <c r="L9" s="487"/>
      <c r="M9" s="487"/>
      <c r="N9" s="487"/>
      <c r="O9" s="487"/>
      <c r="P9" s="487"/>
      <c r="Q9" s="237"/>
      <c r="R9" s="237"/>
      <c r="S9" s="237"/>
      <c r="T9" s="237"/>
      <c r="U9" s="102"/>
      <c r="V9" s="102"/>
      <c r="W9" s="102"/>
      <c r="X9" s="102"/>
      <c r="Y9" s="102"/>
      <c r="Z9" s="102"/>
      <c r="AA9" s="102"/>
      <c r="AB9" s="102"/>
      <c r="AC9" s="102"/>
      <c r="AD9" s="102"/>
      <c r="AE9" s="102"/>
      <c r="AF9" s="102"/>
      <c r="AG9" s="102"/>
      <c r="AH9" s="102"/>
      <c r="AI9" s="102"/>
      <c r="AJ9" s="102"/>
      <c r="AK9" s="102"/>
    </row>
    <row r="10" spans="1:37" x14ac:dyDescent="0.2">
      <c r="A10" s="31"/>
      <c r="B10" s="26" t="s">
        <v>32</v>
      </c>
      <c r="C10" s="12"/>
      <c r="D10" s="12"/>
      <c r="E10" s="62"/>
      <c r="F10" s="158"/>
      <c r="G10" s="302"/>
      <c r="H10" s="276"/>
      <c r="I10" s="487"/>
      <c r="J10" s="487"/>
      <c r="K10" s="487"/>
      <c r="L10" s="487"/>
      <c r="M10" s="487"/>
      <c r="N10" s="487"/>
      <c r="O10" s="487"/>
      <c r="P10" s="487"/>
      <c r="Q10" s="237"/>
      <c r="R10" s="237"/>
      <c r="S10" s="237"/>
      <c r="T10" s="237"/>
      <c r="U10" s="102"/>
      <c r="V10" s="102"/>
      <c r="W10" s="102"/>
      <c r="X10" s="102"/>
      <c r="Y10" s="102"/>
      <c r="Z10" s="102"/>
      <c r="AA10" s="102"/>
      <c r="AB10" s="102"/>
      <c r="AC10" s="102"/>
      <c r="AD10" s="102"/>
      <c r="AE10" s="102"/>
      <c r="AF10" s="102"/>
      <c r="AG10" s="102"/>
      <c r="AH10" s="102"/>
      <c r="AI10" s="102"/>
      <c r="AJ10" s="102"/>
      <c r="AK10" s="102"/>
    </row>
    <row r="11" spans="1:37" x14ac:dyDescent="0.2">
      <c r="A11" s="211">
        <v>1</v>
      </c>
      <c r="B11" s="37"/>
      <c r="C11" s="10" t="s">
        <v>293</v>
      </c>
      <c r="D11" s="10"/>
      <c r="E11" s="19"/>
      <c r="F11" s="159" t="s">
        <v>277</v>
      </c>
      <c r="G11" s="303">
        <f>+'KIPP Assumptions'!C$6*SUM('KIPP Assumptions'!C$17,'KIPP Assumptions'!C$19)</f>
        <v>2568292</v>
      </c>
      <c r="H11" s="277"/>
      <c r="I11" s="487"/>
      <c r="J11" s="487"/>
      <c r="K11" s="487"/>
      <c r="L11" s="487"/>
      <c r="M11" s="487"/>
      <c r="N11" s="487"/>
      <c r="O11" s="487"/>
      <c r="P11" s="487"/>
      <c r="Q11" s="237"/>
      <c r="R11" s="237"/>
      <c r="S11" s="237"/>
      <c r="T11" s="237"/>
      <c r="U11" s="102"/>
      <c r="V11" s="102"/>
      <c r="W11" s="102"/>
      <c r="X11" s="102"/>
      <c r="Y11" s="102"/>
      <c r="Z11" s="102"/>
      <c r="AA11" s="102"/>
      <c r="AB11" s="102"/>
      <c r="AC11" s="102"/>
      <c r="AD11" s="102"/>
      <c r="AE11" s="102"/>
      <c r="AF11" s="102"/>
      <c r="AG11" s="102"/>
      <c r="AH11" s="102"/>
      <c r="AI11" s="102"/>
      <c r="AJ11" s="102"/>
      <c r="AK11" s="102"/>
    </row>
    <row r="12" spans="1:37" x14ac:dyDescent="0.2">
      <c r="A12" s="211">
        <v>2</v>
      </c>
      <c r="B12" s="37"/>
      <c r="C12" s="10" t="s">
        <v>35</v>
      </c>
      <c r="D12" s="10"/>
      <c r="E12" s="19"/>
      <c r="F12" s="159" t="s">
        <v>216</v>
      </c>
      <c r="G12" s="303">
        <v>0</v>
      </c>
      <c r="H12" s="277"/>
      <c r="I12" s="487"/>
      <c r="J12" s="487"/>
      <c r="K12" s="487"/>
      <c r="L12" s="487"/>
      <c r="M12" s="487"/>
      <c r="N12" s="487"/>
      <c r="O12" s="487"/>
      <c r="P12" s="487"/>
      <c r="Q12" s="237"/>
      <c r="R12" s="237"/>
      <c r="S12" s="237"/>
      <c r="T12" s="237"/>
      <c r="U12" s="102"/>
      <c r="V12" s="102"/>
      <c r="W12" s="102"/>
      <c r="X12" s="102"/>
      <c r="Y12" s="102"/>
      <c r="Z12" s="102"/>
      <c r="AA12" s="102"/>
      <c r="AB12" s="102"/>
      <c r="AC12" s="102"/>
      <c r="AD12" s="102"/>
      <c r="AE12" s="102"/>
      <c r="AF12" s="102"/>
      <c r="AG12" s="102"/>
      <c r="AH12" s="102"/>
      <c r="AI12" s="102"/>
      <c r="AJ12" s="102"/>
      <c r="AK12" s="102"/>
    </row>
    <row r="13" spans="1:37" x14ac:dyDescent="0.2">
      <c r="A13" s="211">
        <v>3</v>
      </c>
      <c r="B13" s="37"/>
      <c r="C13" s="10" t="s">
        <v>36</v>
      </c>
      <c r="D13" s="10"/>
      <c r="E13" s="19"/>
      <c r="F13" s="159" t="s">
        <v>217</v>
      </c>
      <c r="G13" s="303">
        <v>0</v>
      </c>
      <c r="H13" s="277"/>
      <c r="I13" s="487"/>
      <c r="J13" s="487"/>
      <c r="K13" s="487"/>
      <c r="L13" s="487"/>
      <c r="M13" s="487"/>
      <c r="N13" s="487"/>
      <c r="O13" s="487"/>
      <c r="P13" s="487"/>
      <c r="Q13" s="237"/>
      <c r="R13" s="237"/>
      <c r="S13" s="237"/>
      <c r="T13" s="237"/>
      <c r="U13" s="102"/>
      <c r="V13" s="102"/>
      <c r="W13" s="102"/>
      <c r="X13" s="102"/>
      <c r="Y13" s="102"/>
      <c r="Z13" s="102"/>
      <c r="AA13" s="102"/>
      <c r="AB13" s="102"/>
      <c r="AC13" s="102"/>
      <c r="AD13" s="102"/>
      <c r="AE13" s="102"/>
      <c r="AF13" s="102"/>
      <c r="AG13" s="102"/>
      <c r="AH13" s="102"/>
      <c r="AI13" s="102"/>
      <c r="AJ13" s="102"/>
      <c r="AK13" s="102"/>
    </row>
    <row r="14" spans="1:37" x14ac:dyDescent="0.2">
      <c r="A14" s="211">
        <v>4</v>
      </c>
      <c r="B14" s="37"/>
      <c r="C14" s="10" t="s">
        <v>37</v>
      </c>
      <c r="D14" s="10"/>
      <c r="E14" s="19"/>
      <c r="F14" s="159">
        <v>1800</v>
      </c>
      <c r="G14" s="303">
        <v>0</v>
      </c>
      <c r="H14" s="277"/>
      <c r="I14" s="487"/>
      <c r="J14" s="487"/>
      <c r="K14" s="487"/>
      <c r="L14" s="487"/>
      <c r="M14" s="487"/>
      <c r="N14" s="487"/>
      <c r="O14" s="487"/>
      <c r="P14" s="487"/>
      <c r="Q14" s="237"/>
      <c r="R14" s="237"/>
      <c r="S14" s="237"/>
      <c r="T14" s="237"/>
      <c r="U14" s="102"/>
      <c r="V14" s="102"/>
      <c r="W14" s="102"/>
      <c r="X14" s="102"/>
      <c r="Y14" s="102"/>
      <c r="Z14" s="102"/>
      <c r="AA14" s="102"/>
      <c r="AB14" s="102"/>
      <c r="AC14" s="102"/>
      <c r="AD14" s="102"/>
      <c r="AE14" s="102"/>
      <c r="AF14" s="102"/>
      <c r="AG14" s="102"/>
      <c r="AH14" s="102"/>
      <c r="AI14" s="102"/>
      <c r="AJ14" s="102"/>
      <c r="AK14" s="102"/>
    </row>
    <row r="15" spans="1:37" x14ac:dyDescent="0.2">
      <c r="A15" s="211"/>
      <c r="B15" s="37"/>
      <c r="C15" s="10" t="s">
        <v>38</v>
      </c>
      <c r="D15" s="10"/>
      <c r="E15" s="62"/>
      <c r="F15" s="158"/>
      <c r="G15" s="302"/>
      <c r="H15" s="276"/>
      <c r="I15" s="487"/>
      <c r="J15" s="487"/>
      <c r="K15" s="487"/>
      <c r="L15" s="487"/>
      <c r="M15" s="487"/>
      <c r="N15" s="487"/>
      <c r="O15" s="487"/>
      <c r="P15" s="487"/>
      <c r="Q15" s="237"/>
      <c r="R15" s="237"/>
      <c r="S15" s="237"/>
      <c r="T15" s="237"/>
      <c r="U15" s="102"/>
      <c r="V15" s="102"/>
      <c r="W15" s="102"/>
      <c r="X15" s="102"/>
      <c r="Y15" s="102"/>
      <c r="Z15" s="102"/>
      <c r="AA15" s="102"/>
      <c r="AB15" s="102"/>
      <c r="AC15" s="102"/>
      <c r="AD15" s="102"/>
      <c r="AE15" s="102"/>
      <c r="AF15" s="102"/>
      <c r="AG15" s="102"/>
      <c r="AH15" s="102"/>
      <c r="AI15" s="102"/>
      <c r="AJ15" s="102"/>
      <c r="AK15" s="102"/>
    </row>
    <row r="16" spans="1:37" x14ac:dyDescent="0.2">
      <c r="A16" s="211">
        <v>5</v>
      </c>
      <c r="B16" s="37"/>
      <c r="C16" s="10"/>
      <c r="D16" s="10" t="s">
        <v>39</v>
      </c>
      <c r="E16" s="19"/>
      <c r="F16" s="159" t="s">
        <v>40</v>
      </c>
      <c r="G16" s="303">
        <f>'KIPP Assumptions'!C$45</f>
        <v>290700</v>
      </c>
      <c r="H16" s="277"/>
      <c r="I16" s="487"/>
      <c r="J16" s="487"/>
      <c r="K16" s="487"/>
      <c r="L16" s="487"/>
      <c r="M16" s="487"/>
      <c r="N16" s="487"/>
      <c r="O16" s="487"/>
      <c r="P16" s="487"/>
      <c r="Q16" s="237"/>
      <c r="R16" s="237"/>
      <c r="S16" s="237"/>
      <c r="T16" s="237"/>
      <c r="U16" s="102"/>
      <c r="V16" s="102"/>
      <c r="W16" s="102"/>
      <c r="X16" s="102"/>
      <c r="Y16" s="102"/>
      <c r="Z16" s="102"/>
      <c r="AA16" s="102"/>
      <c r="AB16" s="102"/>
      <c r="AC16" s="102"/>
      <c r="AD16" s="102"/>
      <c r="AE16" s="102"/>
      <c r="AF16" s="102"/>
      <c r="AG16" s="102"/>
      <c r="AH16" s="102"/>
      <c r="AI16" s="102"/>
      <c r="AJ16" s="102"/>
      <c r="AK16" s="102"/>
    </row>
    <row r="17" spans="1:37" x14ac:dyDescent="0.2">
      <c r="A17" s="211">
        <v>6</v>
      </c>
      <c r="B17" s="37"/>
      <c r="C17" s="10"/>
      <c r="D17" s="10" t="s">
        <v>41</v>
      </c>
      <c r="E17" s="19"/>
      <c r="F17" s="159" t="s">
        <v>42</v>
      </c>
      <c r="G17" s="303">
        <v>0</v>
      </c>
      <c r="H17" s="277"/>
      <c r="I17" s="487"/>
      <c r="J17" s="487"/>
      <c r="K17" s="487"/>
      <c r="L17" s="487"/>
      <c r="M17" s="487"/>
      <c r="N17" s="487"/>
      <c r="O17" s="487"/>
      <c r="P17" s="487"/>
      <c r="Q17" s="237"/>
      <c r="R17" s="237"/>
      <c r="S17" s="237"/>
      <c r="T17" s="237"/>
      <c r="U17" s="102"/>
      <c r="V17" s="102"/>
      <c r="W17" s="102"/>
      <c r="X17" s="102"/>
      <c r="Y17" s="102"/>
      <c r="Z17" s="102"/>
      <c r="AA17" s="102"/>
      <c r="AB17" s="102"/>
      <c r="AC17" s="102"/>
      <c r="AD17" s="102"/>
      <c r="AE17" s="102"/>
      <c r="AF17" s="102"/>
      <c r="AG17" s="102"/>
      <c r="AH17" s="102"/>
      <c r="AI17" s="102"/>
      <c r="AJ17" s="102"/>
      <c r="AK17" s="102"/>
    </row>
    <row r="18" spans="1:37" x14ac:dyDescent="0.2">
      <c r="A18" s="213">
        <v>7</v>
      </c>
      <c r="B18" s="43"/>
      <c r="C18" s="44"/>
      <c r="D18" s="44" t="s">
        <v>255</v>
      </c>
      <c r="E18" s="23"/>
      <c r="F18" s="162" t="s">
        <v>218</v>
      </c>
      <c r="G18" s="304">
        <v>0</v>
      </c>
      <c r="H18" s="278"/>
      <c r="I18" s="487"/>
      <c r="J18" s="487"/>
      <c r="K18" s="487"/>
      <c r="L18" s="487"/>
      <c r="M18" s="487"/>
      <c r="N18" s="487"/>
      <c r="O18" s="487"/>
      <c r="P18" s="487"/>
      <c r="Q18" s="237"/>
      <c r="R18" s="237"/>
      <c r="S18" s="237"/>
      <c r="T18" s="237"/>
      <c r="U18" s="102"/>
      <c r="V18" s="102"/>
      <c r="W18" s="102"/>
      <c r="X18" s="102"/>
      <c r="Y18" s="102"/>
      <c r="Z18" s="102"/>
      <c r="AA18" s="102"/>
      <c r="AB18" s="102"/>
      <c r="AC18" s="102"/>
      <c r="AD18" s="102"/>
      <c r="AE18" s="102"/>
      <c r="AF18" s="102"/>
      <c r="AG18" s="102"/>
      <c r="AH18" s="102"/>
      <c r="AI18" s="102"/>
      <c r="AJ18" s="102"/>
      <c r="AK18" s="102"/>
    </row>
    <row r="19" spans="1:37" s="95" customFormat="1" x14ac:dyDescent="0.2">
      <c r="A19" s="215">
        <v>8</v>
      </c>
      <c r="B19" s="92"/>
      <c r="C19" s="83" t="s">
        <v>17</v>
      </c>
      <c r="D19" s="83"/>
      <c r="E19" s="93"/>
      <c r="F19" s="161"/>
      <c r="G19" s="305"/>
      <c r="H19" s="272"/>
      <c r="I19" s="488"/>
      <c r="J19" s="488"/>
      <c r="K19" s="488"/>
      <c r="L19" s="488"/>
      <c r="M19" s="488"/>
      <c r="N19" s="488"/>
      <c r="O19" s="488"/>
      <c r="P19" s="488"/>
      <c r="Q19" s="242"/>
      <c r="R19" s="242"/>
      <c r="S19" s="242"/>
      <c r="T19" s="237"/>
      <c r="U19" s="241"/>
      <c r="V19" s="241"/>
      <c r="W19" s="241"/>
      <c r="X19" s="241"/>
      <c r="Y19" s="241"/>
      <c r="Z19" s="241"/>
      <c r="AA19" s="241"/>
      <c r="AB19" s="241"/>
      <c r="AC19" s="241"/>
      <c r="AD19" s="241"/>
      <c r="AE19" s="241"/>
      <c r="AF19" s="241"/>
      <c r="AG19" s="241"/>
      <c r="AH19" s="241"/>
      <c r="AI19" s="241"/>
      <c r="AJ19" s="241"/>
      <c r="AK19" s="241"/>
    </row>
    <row r="20" spans="1:37" x14ac:dyDescent="0.2">
      <c r="A20" s="213">
        <v>9</v>
      </c>
      <c r="B20" s="43"/>
      <c r="C20" s="44"/>
      <c r="D20" s="44"/>
      <c r="E20" s="23"/>
      <c r="F20" s="162"/>
      <c r="G20" s="304"/>
      <c r="H20" s="278"/>
      <c r="I20" s="487"/>
      <c r="J20" s="487"/>
      <c r="K20" s="487"/>
      <c r="L20" s="487"/>
      <c r="M20" s="487"/>
      <c r="N20" s="487"/>
      <c r="O20" s="487"/>
      <c r="P20" s="487"/>
      <c r="Q20" s="237"/>
      <c r="R20" s="237"/>
      <c r="S20" s="237"/>
      <c r="T20" s="237"/>
      <c r="U20" s="102"/>
      <c r="V20" s="102"/>
      <c r="W20" s="102"/>
      <c r="X20" s="102"/>
      <c r="Y20" s="102"/>
      <c r="Z20" s="102"/>
      <c r="AA20" s="102"/>
      <c r="AB20" s="102"/>
      <c r="AC20" s="102"/>
      <c r="AD20" s="102"/>
      <c r="AE20" s="102"/>
      <c r="AF20" s="102"/>
      <c r="AG20" s="102"/>
      <c r="AH20" s="102"/>
      <c r="AI20" s="102"/>
      <c r="AJ20" s="102"/>
      <c r="AK20" s="102"/>
    </row>
    <row r="21" spans="1:37" x14ac:dyDescent="0.2">
      <c r="A21" s="216">
        <v>10</v>
      </c>
      <c r="B21" s="48" t="s">
        <v>269</v>
      </c>
      <c r="C21" s="7"/>
      <c r="D21" s="49"/>
      <c r="E21" s="50"/>
      <c r="F21" s="163"/>
      <c r="G21" s="306">
        <f>SUM(G11:G20)</f>
        <v>2858992</v>
      </c>
      <c r="H21" s="279"/>
      <c r="I21" s="487"/>
      <c r="J21" s="487"/>
      <c r="K21" s="487"/>
      <c r="L21" s="487"/>
      <c r="M21" s="487"/>
      <c r="N21" s="487"/>
      <c r="O21" s="487"/>
      <c r="P21" s="487"/>
      <c r="Q21" s="237"/>
      <c r="R21" s="237"/>
      <c r="S21" s="237"/>
      <c r="T21" s="237"/>
      <c r="U21" s="102"/>
      <c r="V21" s="102"/>
      <c r="W21" s="102"/>
      <c r="X21" s="102"/>
      <c r="Y21" s="102"/>
      <c r="Z21" s="102"/>
      <c r="AA21" s="102"/>
      <c r="AB21" s="102"/>
      <c r="AC21" s="102"/>
      <c r="AD21" s="102"/>
      <c r="AE21" s="102"/>
      <c r="AF21" s="102"/>
      <c r="AG21" s="102"/>
      <c r="AH21" s="102"/>
      <c r="AI21" s="102"/>
      <c r="AJ21" s="102"/>
      <c r="AK21" s="102"/>
    </row>
    <row r="22" spans="1:37" x14ac:dyDescent="0.2">
      <c r="A22" s="30"/>
      <c r="B22" s="36"/>
      <c r="C22" s="13"/>
      <c r="D22" s="13"/>
      <c r="E22" s="72"/>
      <c r="F22" s="157"/>
      <c r="G22" s="301"/>
      <c r="H22" s="275"/>
      <c r="I22" s="487"/>
      <c r="J22" s="487"/>
      <c r="K22" s="487"/>
      <c r="L22" s="487"/>
      <c r="M22" s="487"/>
      <c r="N22" s="487"/>
      <c r="O22" s="487"/>
      <c r="P22" s="487"/>
      <c r="Q22" s="237"/>
      <c r="R22" s="237"/>
      <c r="S22" s="237"/>
      <c r="T22" s="237"/>
      <c r="U22" s="102"/>
      <c r="V22" s="102"/>
      <c r="W22" s="102"/>
      <c r="X22" s="102"/>
      <c r="Y22" s="102"/>
      <c r="Z22" s="102"/>
      <c r="AA22" s="102"/>
      <c r="AB22" s="102"/>
      <c r="AC22" s="102"/>
      <c r="AD22" s="102"/>
      <c r="AE22" s="102"/>
      <c r="AF22" s="102"/>
      <c r="AG22" s="102"/>
      <c r="AH22" s="102"/>
      <c r="AI22" s="102"/>
      <c r="AJ22" s="102"/>
      <c r="AK22" s="102"/>
    </row>
    <row r="23" spans="1:37" x14ac:dyDescent="0.2">
      <c r="A23" s="31"/>
      <c r="B23" s="26" t="s">
        <v>43</v>
      </c>
      <c r="C23" s="12"/>
      <c r="D23" s="12"/>
      <c r="E23" s="62"/>
      <c r="F23" s="158"/>
      <c r="G23" s="302"/>
      <c r="H23" s="276"/>
      <c r="I23" s="487"/>
      <c r="J23" s="487"/>
      <c r="K23" s="487"/>
      <c r="L23" s="487"/>
      <c r="M23" s="487"/>
      <c r="N23" s="487"/>
      <c r="O23" s="487"/>
      <c r="P23" s="487"/>
      <c r="Q23" s="237"/>
      <c r="R23" s="237"/>
      <c r="S23" s="237"/>
      <c r="T23" s="237"/>
      <c r="U23" s="102"/>
      <c r="V23" s="102"/>
      <c r="W23" s="102"/>
      <c r="X23" s="102"/>
      <c r="Y23" s="102"/>
      <c r="Z23" s="102"/>
      <c r="AA23" s="102"/>
      <c r="AB23" s="102"/>
      <c r="AC23" s="102"/>
      <c r="AD23" s="102"/>
      <c r="AE23" s="102"/>
      <c r="AF23" s="102"/>
      <c r="AG23" s="102"/>
      <c r="AH23" s="102"/>
      <c r="AI23" s="102"/>
      <c r="AJ23" s="102"/>
      <c r="AK23" s="102"/>
    </row>
    <row r="24" spans="1:37" x14ac:dyDescent="0.2">
      <c r="A24" s="32"/>
      <c r="B24" s="37"/>
      <c r="C24" s="10" t="s">
        <v>44</v>
      </c>
      <c r="D24" s="10"/>
      <c r="E24" s="62"/>
      <c r="F24" s="158"/>
      <c r="G24" s="302"/>
      <c r="H24" s="276"/>
      <c r="I24" s="487"/>
      <c r="J24" s="487"/>
      <c r="K24" s="487"/>
      <c r="L24" s="487"/>
      <c r="M24" s="487"/>
      <c r="N24" s="487"/>
      <c r="O24" s="487"/>
      <c r="P24" s="487"/>
      <c r="Q24" s="237"/>
      <c r="R24" s="237"/>
      <c r="S24" s="237"/>
      <c r="T24" s="237"/>
      <c r="U24" s="102"/>
      <c r="V24" s="102"/>
      <c r="W24" s="102"/>
      <c r="X24" s="102"/>
      <c r="Y24" s="102"/>
      <c r="Z24" s="102"/>
      <c r="AA24" s="102"/>
      <c r="AB24" s="102"/>
      <c r="AC24" s="102"/>
      <c r="AD24" s="102"/>
      <c r="AE24" s="102"/>
      <c r="AF24" s="102"/>
      <c r="AG24" s="102"/>
      <c r="AH24" s="102"/>
      <c r="AI24" s="102"/>
      <c r="AJ24" s="102"/>
      <c r="AK24" s="102"/>
    </row>
    <row r="25" spans="1:37" x14ac:dyDescent="0.2">
      <c r="A25" s="211">
        <v>11</v>
      </c>
      <c r="B25" s="37"/>
      <c r="C25" s="10"/>
      <c r="D25" s="10" t="s">
        <v>294</v>
      </c>
      <c r="E25" s="19"/>
      <c r="F25" s="159" t="s">
        <v>20</v>
      </c>
      <c r="G25" s="303">
        <f>+SUMPRODUCT('KIPP Assumptions'!C$7:C$14,'KIPP Assumptions'!C$21:C$28)+'KIPP Assumptions'!C$6*SUM('KIPP Assumptions'!C$18,'KIPP Assumptions'!C$20)</f>
        <v>1048128.3300000001</v>
      </c>
      <c r="H25" s="277"/>
      <c r="I25" s="487"/>
      <c r="J25" s="487"/>
      <c r="K25" s="487"/>
      <c r="L25" s="487"/>
      <c r="M25" s="487"/>
      <c r="N25" s="487"/>
      <c r="O25" s="487"/>
      <c r="P25" s="487"/>
      <c r="Q25" s="237"/>
      <c r="R25" s="237"/>
      <c r="S25" s="237"/>
      <c r="T25" s="237"/>
      <c r="U25" s="102"/>
      <c r="V25" s="102"/>
      <c r="W25" s="102"/>
      <c r="X25" s="102"/>
      <c r="Y25" s="102"/>
      <c r="Z25" s="102"/>
      <c r="AA25" s="102"/>
      <c r="AB25" s="102"/>
      <c r="AC25" s="102"/>
      <c r="AD25" s="102"/>
      <c r="AE25" s="102"/>
      <c r="AF25" s="102"/>
      <c r="AG25" s="102"/>
      <c r="AH25" s="102"/>
      <c r="AI25" s="102"/>
      <c r="AJ25" s="102"/>
      <c r="AK25" s="102"/>
    </row>
    <row r="26" spans="1:37" x14ac:dyDescent="0.2">
      <c r="A26" s="211">
        <v>12</v>
      </c>
      <c r="B26" s="37"/>
      <c r="C26" s="10"/>
      <c r="D26" s="10" t="s">
        <v>45</v>
      </c>
      <c r="E26" s="19"/>
      <c r="F26" s="159" t="s">
        <v>46</v>
      </c>
      <c r="G26" s="303">
        <f>+'KIPP Assumptions'!C$41</f>
        <v>51000</v>
      </c>
      <c r="H26" s="277"/>
      <c r="I26" s="487"/>
      <c r="J26" s="487"/>
      <c r="K26" s="487"/>
      <c r="L26" s="487"/>
      <c r="M26" s="487"/>
      <c r="N26" s="487"/>
      <c r="O26" s="487"/>
      <c r="P26" s="487"/>
      <c r="Q26" s="237"/>
      <c r="R26" s="237"/>
      <c r="S26" s="237"/>
      <c r="T26" s="237"/>
      <c r="U26" s="102"/>
      <c r="V26" s="102"/>
      <c r="W26" s="102"/>
      <c r="X26" s="102"/>
      <c r="Y26" s="102"/>
      <c r="Z26" s="102"/>
      <c r="AA26" s="102"/>
      <c r="AB26" s="102"/>
      <c r="AC26" s="102"/>
      <c r="AD26" s="102"/>
      <c r="AE26" s="102"/>
      <c r="AF26" s="102"/>
      <c r="AG26" s="102"/>
      <c r="AH26" s="102"/>
      <c r="AI26" s="102"/>
      <c r="AJ26" s="102"/>
      <c r="AK26" s="102"/>
    </row>
    <row r="27" spans="1:37" x14ac:dyDescent="0.2">
      <c r="A27" s="211"/>
      <c r="B27" s="37"/>
      <c r="C27" s="10" t="s">
        <v>47</v>
      </c>
      <c r="D27" s="10"/>
      <c r="E27" s="62"/>
      <c r="F27" s="158"/>
      <c r="G27" s="302"/>
      <c r="H27" s="276"/>
      <c r="I27" s="487"/>
      <c r="J27" s="487"/>
      <c r="K27" s="487"/>
      <c r="L27" s="487"/>
      <c r="M27" s="487"/>
      <c r="N27" s="487"/>
      <c r="O27" s="487"/>
      <c r="P27" s="487"/>
      <c r="Q27" s="237"/>
      <c r="R27" s="237"/>
      <c r="S27" s="237"/>
      <c r="T27" s="237"/>
      <c r="U27" s="102"/>
      <c r="V27" s="102"/>
      <c r="W27" s="102"/>
      <c r="X27" s="102"/>
      <c r="Y27" s="102"/>
      <c r="Z27" s="102"/>
      <c r="AA27" s="102"/>
      <c r="AB27" s="102"/>
      <c r="AC27" s="102"/>
      <c r="AD27" s="102"/>
      <c r="AE27" s="102"/>
      <c r="AF27" s="102"/>
      <c r="AG27" s="102"/>
      <c r="AH27" s="102"/>
      <c r="AI27" s="102"/>
      <c r="AJ27" s="102"/>
      <c r="AK27" s="102"/>
    </row>
    <row r="28" spans="1:37" x14ac:dyDescent="0.2">
      <c r="A28" s="211">
        <v>13</v>
      </c>
      <c r="B28" s="37"/>
      <c r="C28" s="10"/>
      <c r="D28" s="10" t="s">
        <v>48</v>
      </c>
      <c r="E28" s="19"/>
      <c r="F28" s="159" t="s">
        <v>49</v>
      </c>
      <c r="G28" s="303"/>
      <c r="H28" s="277"/>
      <c r="I28" s="487"/>
      <c r="J28" s="487"/>
      <c r="K28" s="487"/>
      <c r="L28" s="487"/>
      <c r="M28" s="487"/>
      <c r="N28" s="487"/>
      <c r="O28" s="487"/>
      <c r="P28" s="487"/>
      <c r="Q28" s="237"/>
      <c r="R28" s="237"/>
      <c r="S28" s="237"/>
      <c r="T28" s="237"/>
      <c r="U28" s="102"/>
      <c r="V28" s="102"/>
      <c r="W28" s="102"/>
      <c r="X28" s="102"/>
      <c r="Y28" s="102"/>
      <c r="Z28" s="102"/>
      <c r="AA28" s="102"/>
      <c r="AB28" s="102"/>
      <c r="AC28" s="102"/>
      <c r="AD28" s="102"/>
      <c r="AE28" s="102"/>
      <c r="AF28" s="102"/>
      <c r="AG28" s="102"/>
      <c r="AH28" s="102"/>
      <c r="AI28" s="102"/>
      <c r="AJ28" s="102"/>
      <c r="AK28" s="102"/>
    </row>
    <row r="29" spans="1:37" x14ac:dyDescent="0.2">
      <c r="A29" s="211">
        <v>14</v>
      </c>
      <c r="B29" s="37"/>
      <c r="C29" s="10"/>
      <c r="D29" s="10" t="s">
        <v>50</v>
      </c>
      <c r="E29" s="19"/>
      <c r="F29" s="159" t="s">
        <v>51</v>
      </c>
      <c r="G29" s="303"/>
      <c r="H29" s="277"/>
      <c r="I29" s="487"/>
      <c r="J29" s="487"/>
      <c r="K29" s="487"/>
      <c r="L29" s="487"/>
      <c r="M29" s="487"/>
      <c r="N29" s="487"/>
      <c r="O29" s="487"/>
      <c r="P29" s="487"/>
      <c r="Q29" s="237"/>
      <c r="R29" s="237"/>
      <c r="S29" s="237"/>
      <c r="T29" s="237"/>
      <c r="U29" s="102"/>
      <c r="V29" s="102"/>
      <c r="W29" s="102"/>
      <c r="X29" s="102"/>
      <c r="Y29" s="102"/>
      <c r="Z29" s="102"/>
      <c r="AA29" s="102"/>
      <c r="AB29" s="102"/>
      <c r="AC29" s="102"/>
      <c r="AD29" s="102"/>
      <c r="AE29" s="102"/>
      <c r="AF29" s="102"/>
      <c r="AG29" s="102"/>
      <c r="AH29" s="102"/>
      <c r="AI29" s="102"/>
      <c r="AJ29" s="102"/>
      <c r="AK29" s="102"/>
    </row>
    <row r="30" spans="1:37" x14ac:dyDescent="0.2">
      <c r="A30" s="213">
        <v>15</v>
      </c>
      <c r="B30" s="43"/>
      <c r="C30" s="44"/>
      <c r="D30" s="44" t="s">
        <v>52</v>
      </c>
      <c r="E30" s="23"/>
      <c r="F30" s="162" t="s">
        <v>53</v>
      </c>
      <c r="G30" s="304">
        <f>+'KIPP Assumptions'!C$39+'KIPP Assumptions'!C$40</f>
        <v>93840</v>
      </c>
      <c r="H30" s="278"/>
      <c r="I30" s="487"/>
      <c r="J30" s="487"/>
      <c r="K30" s="487"/>
      <c r="L30" s="487"/>
      <c r="M30" s="487"/>
      <c r="N30" s="487"/>
      <c r="O30" s="487"/>
      <c r="P30" s="487"/>
      <c r="Q30" s="237"/>
      <c r="R30" s="237"/>
      <c r="S30" s="237"/>
      <c r="T30" s="237"/>
      <c r="U30" s="102"/>
      <c r="V30" s="102"/>
      <c r="W30" s="102"/>
      <c r="X30" s="102"/>
      <c r="Y30" s="102"/>
      <c r="Z30" s="102"/>
      <c r="AA30" s="102"/>
      <c r="AB30" s="102"/>
      <c r="AC30" s="102"/>
      <c r="AD30" s="102"/>
      <c r="AE30" s="102"/>
      <c r="AF30" s="102"/>
      <c r="AG30" s="102"/>
      <c r="AH30" s="102"/>
      <c r="AI30" s="102"/>
      <c r="AJ30" s="102"/>
      <c r="AK30" s="102"/>
    </row>
    <row r="31" spans="1:37" s="95" customFormat="1" x14ac:dyDescent="0.2">
      <c r="A31" s="215">
        <v>16</v>
      </c>
      <c r="B31" s="92"/>
      <c r="C31" s="83" t="s">
        <v>17</v>
      </c>
      <c r="D31" s="83"/>
      <c r="E31" s="93"/>
      <c r="F31" s="161"/>
      <c r="G31" s="305"/>
      <c r="H31" s="272"/>
      <c r="I31" s="488"/>
      <c r="J31" s="488"/>
      <c r="K31" s="488"/>
      <c r="L31" s="488"/>
      <c r="M31" s="488"/>
      <c r="N31" s="488"/>
      <c r="O31" s="488"/>
      <c r="P31" s="488"/>
      <c r="Q31" s="242"/>
      <c r="R31" s="242"/>
      <c r="S31" s="242"/>
      <c r="T31" s="237"/>
      <c r="U31" s="241"/>
      <c r="V31" s="241"/>
      <c r="W31" s="241"/>
      <c r="X31" s="241"/>
      <c r="Y31" s="241"/>
      <c r="Z31" s="241"/>
      <c r="AA31" s="241"/>
      <c r="AB31" s="241"/>
      <c r="AC31" s="241"/>
      <c r="AD31" s="241"/>
      <c r="AE31" s="241"/>
      <c r="AF31" s="241"/>
      <c r="AG31" s="241"/>
      <c r="AH31" s="241"/>
      <c r="AI31" s="241"/>
      <c r="AJ31" s="241"/>
      <c r="AK31" s="241"/>
    </row>
    <row r="32" spans="1:37" x14ac:dyDescent="0.2">
      <c r="A32" s="213">
        <v>17</v>
      </c>
      <c r="B32" s="43"/>
      <c r="C32" s="44"/>
      <c r="D32" s="44"/>
      <c r="E32" s="23"/>
      <c r="F32" s="162"/>
      <c r="G32" s="304"/>
      <c r="H32" s="278"/>
      <c r="I32" s="487"/>
      <c r="J32" s="487"/>
      <c r="K32" s="487"/>
      <c r="L32" s="487"/>
      <c r="M32" s="487"/>
      <c r="N32" s="487"/>
      <c r="O32" s="487"/>
      <c r="P32" s="487"/>
      <c r="Q32" s="237"/>
      <c r="R32" s="237"/>
      <c r="S32" s="237"/>
      <c r="T32" s="237"/>
      <c r="U32" s="102"/>
      <c r="V32" s="102"/>
      <c r="W32" s="102"/>
      <c r="X32" s="102"/>
      <c r="Y32" s="102"/>
      <c r="Z32" s="102"/>
      <c r="AA32" s="102"/>
      <c r="AB32" s="102"/>
      <c r="AC32" s="102"/>
      <c r="AD32" s="102"/>
      <c r="AE32" s="102"/>
      <c r="AF32" s="102"/>
      <c r="AG32" s="102"/>
      <c r="AH32" s="102"/>
      <c r="AI32" s="102"/>
      <c r="AJ32" s="102"/>
      <c r="AK32" s="102"/>
    </row>
    <row r="33" spans="1:37" ht="15" thickBot="1" x14ac:dyDescent="0.25">
      <c r="A33" s="247">
        <v>18</v>
      </c>
      <c r="B33" s="248" t="s">
        <v>270</v>
      </c>
      <c r="C33" s="249"/>
      <c r="D33" s="249"/>
      <c r="E33" s="250"/>
      <c r="F33" s="251"/>
      <c r="G33" s="307">
        <f>SUM(G24:G32)</f>
        <v>1192968.33</v>
      </c>
      <c r="H33" s="280"/>
      <c r="I33" s="487"/>
      <c r="J33" s="487"/>
      <c r="K33" s="487"/>
      <c r="L33" s="487"/>
      <c r="M33" s="487"/>
      <c r="N33" s="487"/>
      <c r="O33" s="487"/>
      <c r="P33" s="487"/>
      <c r="Q33" s="237"/>
      <c r="R33" s="237"/>
      <c r="S33" s="237"/>
      <c r="T33" s="237"/>
      <c r="U33" s="102"/>
      <c r="V33" s="102"/>
      <c r="W33" s="102"/>
      <c r="X33" s="102"/>
      <c r="Y33" s="102"/>
      <c r="Z33" s="102"/>
      <c r="AA33" s="102"/>
      <c r="AB33" s="102"/>
      <c r="AC33" s="102"/>
      <c r="AD33" s="102"/>
      <c r="AE33" s="102"/>
      <c r="AF33" s="102"/>
      <c r="AG33" s="102"/>
      <c r="AH33" s="102"/>
      <c r="AI33" s="102"/>
      <c r="AJ33" s="102"/>
      <c r="AK33" s="102"/>
    </row>
    <row r="34" spans="1:37" s="102" customFormat="1" ht="15" thickTop="1" x14ac:dyDescent="0.2">
      <c r="A34" s="101"/>
      <c r="E34" s="103"/>
      <c r="F34" s="103"/>
      <c r="G34" s="264"/>
      <c r="H34" s="281"/>
    </row>
    <row r="35" spans="1:37" s="102" customFormat="1" x14ac:dyDescent="0.2">
      <c r="A35" s="101"/>
      <c r="E35" s="103"/>
      <c r="F35" s="103"/>
      <c r="G35" s="264"/>
      <c r="H35" s="281"/>
    </row>
    <row r="36" spans="1:37" s="102" customFormat="1" x14ac:dyDescent="0.2">
      <c r="A36" s="101"/>
      <c r="E36" s="103"/>
      <c r="F36" s="103"/>
      <c r="G36" s="264"/>
      <c r="H36" s="281"/>
    </row>
    <row r="37" spans="1:37" s="102" customFormat="1" x14ac:dyDescent="0.2">
      <c r="A37" s="101"/>
      <c r="E37" s="103"/>
      <c r="F37" s="103"/>
      <c r="G37" s="264"/>
      <c r="H37" s="281"/>
    </row>
    <row r="38" spans="1:37" s="102" customFormat="1" ht="42" customHeight="1" x14ac:dyDescent="0.2">
      <c r="A38" s="654" t="s">
        <v>10</v>
      </c>
      <c r="B38" s="654"/>
      <c r="C38" s="654"/>
      <c r="D38" s="654"/>
      <c r="E38" s="654"/>
      <c r="F38" s="654"/>
      <c r="G38" s="654"/>
      <c r="H38" s="654"/>
      <c r="I38" s="511"/>
      <c r="J38" s="511"/>
      <c r="K38" s="511"/>
      <c r="L38" s="511"/>
    </row>
    <row r="39" spans="1:37" s="102" customFormat="1" x14ac:dyDescent="0.2">
      <c r="A39" s="101"/>
      <c r="E39" s="103"/>
      <c r="F39" s="103"/>
      <c r="G39" s="264"/>
      <c r="H39" s="281"/>
    </row>
    <row r="40" spans="1:37" s="102" customFormat="1" ht="15" thickBot="1" x14ac:dyDescent="0.25">
      <c r="A40" s="101"/>
      <c r="E40" s="103"/>
      <c r="F40" s="103"/>
      <c r="G40" s="264"/>
      <c r="H40" s="281"/>
    </row>
    <row r="41" spans="1:37" ht="15" thickTop="1" x14ac:dyDescent="0.2">
      <c r="A41" s="252"/>
      <c r="B41" s="253" t="s">
        <v>54</v>
      </c>
      <c r="C41" s="254"/>
      <c r="D41" s="254"/>
      <c r="E41" s="255"/>
      <c r="F41" s="256"/>
      <c r="G41" s="308"/>
      <c r="H41" s="297"/>
      <c r="I41" s="487"/>
      <c r="J41" s="487"/>
      <c r="K41" s="487"/>
      <c r="L41" s="487"/>
      <c r="M41" s="487"/>
      <c r="N41" s="487"/>
      <c r="O41" s="487"/>
      <c r="P41" s="487"/>
      <c r="Q41" s="237"/>
      <c r="R41" s="237"/>
      <c r="S41" s="237"/>
      <c r="T41" s="237"/>
      <c r="U41" s="102"/>
      <c r="V41" s="102"/>
      <c r="W41" s="102"/>
      <c r="X41" s="102"/>
      <c r="Y41" s="102"/>
    </row>
    <row r="42" spans="1:37" x14ac:dyDescent="0.2">
      <c r="A42" s="211"/>
      <c r="B42" s="37"/>
      <c r="C42" s="10" t="s">
        <v>256</v>
      </c>
      <c r="D42" s="10"/>
      <c r="E42" s="62"/>
      <c r="F42" s="158"/>
      <c r="G42" s="302"/>
      <c r="H42" s="267"/>
      <c r="I42" s="487"/>
      <c r="J42" s="487"/>
      <c r="K42" s="487"/>
      <c r="L42" s="487"/>
      <c r="M42" s="487"/>
      <c r="N42" s="487"/>
      <c r="O42" s="487"/>
      <c r="P42" s="487"/>
      <c r="Q42" s="237"/>
      <c r="R42" s="237"/>
      <c r="S42" s="237"/>
      <c r="T42" s="237"/>
      <c r="U42" s="102"/>
      <c r="V42" s="102"/>
      <c r="W42" s="102"/>
      <c r="X42" s="102"/>
      <c r="Y42" s="102"/>
    </row>
    <row r="43" spans="1:37" x14ac:dyDescent="0.2">
      <c r="A43" s="211">
        <v>19</v>
      </c>
      <c r="B43" s="37"/>
      <c r="C43" s="10"/>
      <c r="D43" s="10" t="s">
        <v>55</v>
      </c>
      <c r="E43" s="19"/>
      <c r="F43" s="159" t="s">
        <v>56</v>
      </c>
      <c r="G43" s="303"/>
      <c r="H43" s="268"/>
      <c r="I43" s="487"/>
      <c r="J43" s="487"/>
      <c r="K43" s="487"/>
      <c r="L43" s="487"/>
      <c r="M43" s="487"/>
      <c r="N43" s="487"/>
      <c r="O43" s="487"/>
      <c r="P43" s="487"/>
      <c r="Q43" s="237"/>
      <c r="R43" s="237"/>
      <c r="S43" s="237"/>
      <c r="T43" s="237"/>
      <c r="U43" s="102"/>
      <c r="V43" s="102"/>
      <c r="W43" s="102"/>
      <c r="X43" s="102"/>
      <c r="Y43" s="102"/>
    </row>
    <row r="44" spans="1:37" x14ac:dyDescent="0.2">
      <c r="A44" s="211"/>
      <c r="B44" s="37"/>
      <c r="C44" s="10" t="s">
        <v>257</v>
      </c>
      <c r="D44" s="10"/>
      <c r="E44" s="62"/>
      <c r="F44" s="158"/>
      <c r="G44" s="302"/>
      <c r="H44" s="267"/>
      <c r="I44" s="487"/>
      <c r="J44" s="487"/>
      <c r="K44" s="487"/>
      <c r="L44" s="487"/>
      <c r="M44" s="487"/>
      <c r="N44" s="487"/>
      <c r="O44" s="487"/>
      <c r="P44" s="487"/>
      <c r="Q44" s="237"/>
      <c r="R44" s="237"/>
      <c r="S44" s="237"/>
      <c r="T44" s="237"/>
      <c r="U44" s="102"/>
      <c r="V44" s="102"/>
      <c r="W44" s="102"/>
      <c r="X44" s="102"/>
      <c r="Y44" s="102"/>
    </row>
    <row r="45" spans="1:37" x14ac:dyDescent="0.2">
      <c r="A45" s="211">
        <v>20</v>
      </c>
      <c r="B45" s="37"/>
      <c r="C45" s="10"/>
      <c r="D45" s="10" t="s">
        <v>57</v>
      </c>
      <c r="E45" s="19"/>
      <c r="F45" s="159" t="s">
        <v>58</v>
      </c>
      <c r="G45" s="303"/>
      <c r="H45" s="268"/>
      <c r="I45" s="487"/>
      <c r="J45" s="487"/>
      <c r="K45" s="487"/>
      <c r="L45" s="487"/>
      <c r="M45" s="487"/>
      <c r="N45" s="487"/>
      <c r="O45" s="487"/>
      <c r="P45" s="487"/>
      <c r="Q45" s="237"/>
      <c r="R45" s="237"/>
      <c r="S45" s="237"/>
      <c r="T45" s="237"/>
      <c r="U45" s="102"/>
      <c r="V45" s="102"/>
      <c r="W45" s="102"/>
      <c r="X45" s="102"/>
      <c r="Y45" s="102"/>
    </row>
    <row r="46" spans="1:37" x14ac:dyDescent="0.2">
      <c r="A46" s="211"/>
      <c r="B46" s="37"/>
      <c r="C46" s="10" t="s">
        <v>21</v>
      </c>
      <c r="D46" s="10"/>
      <c r="E46" s="62"/>
      <c r="F46" s="158"/>
      <c r="G46" s="302"/>
      <c r="H46" s="267"/>
      <c r="I46" s="487"/>
      <c r="J46" s="487"/>
      <c r="K46" s="487"/>
      <c r="L46" s="487"/>
      <c r="M46" s="487"/>
      <c r="N46" s="487"/>
      <c r="O46" s="487"/>
      <c r="P46" s="487"/>
      <c r="Q46" s="237"/>
      <c r="R46" s="237"/>
      <c r="S46" s="237"/>
      <c r="T46" s="237"/>
      <c r="U46" s="102"/>
      <c r="V46" s="102"/>
      <c r="W46" s="102"/>
      <c r="X46" s="102"/>
      <c r="Y46" s="102"/>
    </row>
    <row r="47" spans="1:37" x14ac:dyDescent="0.2">
      <c r="A47" s="211">
        <v>21</v>
      </c>
      <c r="B47" s="37"/>
      <c r="C47" s="10"/>
      <c r="D47" s="10" t="s">
        <v>59</v>
      </c>
      <c r="E47" s="19"/>
      <c r="F47" s="159" t="s">
        <v>60</v>
      </c>
      <c r="G47" s="303">
        <f>+SUM('KIPP Assumptions'!C$57:C$60)</f>
        <v>213300</v>
      </c>
      <c r="H47" s="268"/>
      <c r="I47" s="487"/>
      <c r="J47" s="487"/>
      <c r="K47" s="487"/>
      <c r="L47" s="487"/>
      <c r="M47" s="487"/>
      <c r="N47" s="487"/>
      <c r="O47" s="487"/>
      <c r="P47" s="487"/>
      <c r="Q47" s="237"/>
      <c r="R47" s="237"/>
      <c r="S47" s="237"/>
      <c r="T47" s="237"/>
      <c r="U47" s="102"/>
      <c r="V47" s="102"/>
      <c r="W47" s="102"/>
      <c r="X47" s="102"/>
      <c r="Y47" s="102"/>
    </row>
    <row r="48" spans="1:37" x14ac:dyDescent="0.2">
      <c r="A48" s="211"/>
      <c r="B48" s="37"/>
      <c r="C48" s="10"/>
      <c r="D48" s="10" t="s">
        <v>61</v>
      </c>
      <c r="E48" s="62"/>
      <c r="F48" s="158"/>
      <c r="G48" s="302"/>
      <c r="H48" s="267"/>
      <c r="I48" s="487"/>
      <c r="J48" s="487"/>
      <c r="K48" s="487"/>
      <c r="L48" s="487"/>
      <c r="M48" s="487"/>
      <c r="N48" s="487"/>
      <c r="O48" s="487"/>
      <c r="P48" s="487"/>
      <c r="Q48" s="237"/>
      <c r="R48" s="237"/>
      <c r="S48" s="237"/>
      <c r="T48" s="237"/>
      <c r="U48" s="102"/>
      <c r="V48" s="102"/>
      <c r="W48" s="102"/>
      <c r="X48" s="102"/>
      <c r="Y48" s="102"/>
    </row>
    <row r="49" spans="1:25" x14ac:dyDescent="0.2">
      <c r="A49" s="211">
        <v>22</v>
      </c>
      <c r="B49" s="37"/>
      <c r="C49" s="10"/>
      <c r="D49" s="10" t="s">
        <v>258</v>
      </c>
      <c r="E49" s="19"/>
      <c r="F49" s="159" t="s">
        <v>62</v>
      </c>
      <c r="G49" s="303">
        <f>+'KIPP Assumptions'!C$35</f>
        <v>122400</v>
      </c>
      <c r="H49" s="268"/>
      <c r="I49" s="487"/>
      <c r="J49" s="487"/>
      <c r="K49" s="487"/>
      <c r="L49" s="487"/>
      <c r="M49" s="487"/>
      <c r="N49" s="487"/>
      <c r="O49" s="487"/>
      <c r="P49" s="487"/>
      <c r="Q49" s="237"/>
      <c r="R49" s="237"/>
      <c r="S49" s="237"/>
      <c r="T49" s="237"/>
      <c r="U49" s="102"/>
      <c r="V49" s="102"/>
      <c r="W49" s="102"/>
      <c r="X49" s="102"/>
      <c r="Y49" s="102"/>
    </row>
    <row r="50" spans="1:25" x14ac:dyDescent="0.2">
      <c r="A50" s="211">
        <v>23</v>
      </c>
      <c r="B50" s="37"/>
      <c r="C50" s="10"/>
      <c r="D50" s="10" t="s">
        <v>259</v>
      </c>
      <c r="E50" s="19"/>
      <c r="F50" s="159" t="s">
        <v>63</v>
      </c>
      <c r="G50" s="303">
        <f>+'KIPP Assumptions'!C$36</f>
        <v>0</v>
      </c>
      <c r="H50" s="268"/>
      <c r="I50" s="487"/>
      <c r="J50" s="487"/>
      <c r="K50" s="487"/>
      <c r="L50" s="487"/>
      <c r="M50" s="487"/>
      <c r="N50" s="487"/>
      <c r="O50" s="487"/>
      <c r="P50" s="487"/>
      <c r="Q50" s="237"/>
      <c r="R50" s="237"/>
      <c r="S50" s="237"/>
      <c r="T50" s="237"/>
      <c r="U50" s="102"/>
      <c r="V50" s="102"/>
      <c r="W50" s="102"/>
      <c r="X50" s="102"/>
      <c r="Y50" s="102"/>
    </row>
    <row r="51" spans="1:25" x14ac:dyDescent="0.2">
      <c r="A51" s="211">
        <v>24</v>
      </c>
      <c r="B51" s="37"/>
      <c r="C51" s="10"/>
      <c r="D51" s="10" t="s">
        <v>260</v>
      </c>
      <c r="E51" s="19"/>
      <c r="F51" s="159" t="s">
        <v>64</v>
      </c>
      <c r="G51" s="303"/>
      <c r="H51" s="268"/>
      <c r="I51" s="487"/>
      <c r="J51" s="487"/>
      <c r="K51" s="487"/>
      <c r="L51" s="487"/>
      <c r="M51" s="487"/>
      <c r="N51" s="487"/>
      <c r="O51" s="487"/>
      <c r="P51" s="487"/>
      <c r="Q51" s="237"/>
      <c r="R51" s="237"/>
      <c r="S51" s="237"/>
      <c r="T51" s="237"/>
      <c r="U51" s="102"/>
      <c r="V51" s="102"/>
      <c r="W51" s="102"/>
      <c r="X51" s="102"/>
      <c r="Y51" s="102"/>
    </row>
    <row r="52" spans="1:25" x14ac:dyDescent="0.2">
      <c r="A52" s="211"/>
      <c r="B52" s="37"/>
      <c r="C52" s="10"/>
      <c r="D52" s="10" t="s">
        <v>278</v>
      </c>
      <c r="E52" s="62"/>
      <c r="F52" s="158"/>
      <c r="G52" s="302"/>
      <c r="H52" s="267"/>
      <c r="I52" s="487"/>
      <c r="J52" s="487"/>
      <c r="K52" s="487"/>
      <c r="L52" s="487"/>
      <c r="M52" s="487"/>
      <c r="N52" s="487"/>
      <c r="O52" s="487"/>
      <c r="P52" s="487"/>
      <c r="Q52" s="237"/>
      <c r="R52" s="237"/>
      <c r="S52" s="237"/>
      <c r="T52" s="237"/>
      <c r="U52" s="102"/>
      <c r="V52" s="102"/>
      <c r="W52" s="102"/>
      <c r="X52" s="102"/>
      <c r="Y52" s="102"/>
    </row>
    <row r="53" spans="1:25" x14ac:dyDescent="0.2">
      <c r="A53" s="211">
        <v>25</v>
      </c>
      <c r="B53" s="37"/>
      <c r="C53" s="10"/>
      <c r="D53" s="10" t="s">
        <v>261</v>
      </c>
      <c r="E53" s="19"/>
      <c r="F53" s="159" t="s">
        <v>65</v>
      </c>
      <c r="G53" s="303">
        <f>+'KIPP Assumptions'!C$31</f>
        <v>329700</v>
      </c>
      <c r="H53" s="268"/>
      <c r="I53" s="487"/>
      <c r="J53" s="487"/>
      <c r="K53" s="487"/>
      <c r="L53" s="487"/>
      <c r="M53" s="487"/>
      <c r="N53" s="487"/>
      <c r="O53" s="487"/>
      <c r="P53" s="487"/>
      <c r="Q53" s="237"/>
      <c r="R53" s="237"/>
      <c r="S53" s="237"/>
      <c r="T53" s="237"/>
      <c r="U53" s="102"/>
      <c r="V53" s="102"/>
      <c r="W53" s="102"/>
      <c r="X53" s="102"/>
      <c r="Y53" s="102"/>
    </row>
    <row r="54" spans="1:25" x14ac:dyDescent="0.2">
      <c r="A54" s="211">
        <v>26</v>
      </c>
      <c r="B54" s="37"/>
      <c r="C54" s="10"/>
      <c r="D54" s="10" t="s">
        <v>262</v>
      </c>
      <c r="E54" s="19"/>
      <c r="F54" s="159" t="s">
        <v>66</v>
      </c>
      <c r="G54" s="303"/>
      <c r="H54" s="268"/>
      <c r="I54" s="487"/>
      <c r="J54" s="487"/>
      <c r="K54" s="487"/>
      <c r="L54" s="487"/>
      <c r="M54" s="487"/>
      <c r="N54" s="487"/>
      <c r="O54" s="487"/>
      <c r="P54" s="487"/>
      <c r="Q54" s="237"/>
      <c r="R54" s="237"/>
      <c r="S54" s="237"/>
      <c r="T54" s="237"/>
      <c r="U54" s="102"/>
      <c r="V54" s="102"/>
      <c r="W54" s="102"/>
      <c r="X54" s="102"/>
      <c r="Y54" s="102"/>
    </row>
    <row r="55" spans="1:25" x14ac:dyDescent="0.2">
      <c r="A55" s="211">
        <v>27</v>
      </c>
      <c r="B55" s="37"/>
      <c r="C55" s="10"/>
      <c r="D55" s="10" t="s">
        <v>279</v>
      </c>
      <c r="E55" s="19"/>
      <c r="F55" s="159" t="s">
        <v>67</v>
      </c>
      <c r="G55" s="303"/>
      <c r="H55" s="268"/>
      <c r="I55" s="487"/>
      <c r="J55" s="487"/>
      <c r="K55" s="487"/>
      <c r="L55" s="487"/>
      <c r="M55" s="487"/>
      <c r="N55" s="487"/>
      <c r="O55" s="487"/>
      <c r="P55" s="487"/>
      <c r="Q55" s="237"/>
      <c r="R55" s="237"/>
      <c r="S55" s="237"/>
      <c r="T55" s="237"/>
      <c r="U55" s="102"/>
      <c r="V55" s="102"/>
      <c r="W55" s="102"/>
      <c r="X55" s="102"/>
      <c r="Y55" s="102"/>
    </row>
    <row r="56" spans="1:25" x14ac:dyDescent="0.2">
      <c r="A56" s="211">
        <v>28</v>
      </c>
      <c r="B56" s="37"/>
      <c r="C56" s="10"/>
      <c r="D56" s="10" t="s">
        <v>263</v>
      </c>
      <c r="E56" s="19"/>
      <c r="F56" s="159" t="s">
        <v>68</v>
      </c>
      <c r="G56" s="303">
        <f>+'KIPP Assumptions'!C$34</f>
        <v>10000</v>
      </c>
      <c r="H56" s="268"/>
      <c r="I56" s="487"/>
      <c r="J56" s="487"/>
      <c r="K56" s="487"/>
      <c r="L56" s="487"/>
      <c r="M56" s="487"/>
      <c r="N56" s="487"/>
      <c r="O56" s="487"/>
      <c r="P56" s="487"/>
      <c r="Q56" s="237"/>
      <c r="R56" s="237"/>
      <c r="S56" s="237"/>
      <c r="T56" s="237"/>
      <c r="U56" s="102"/>
      <c r="V56" s="102"/>
      <c r="W56" s="102"/>
      <c r="X56" s="102"/>
      <c r="Y56" s="102"/>
    </row>
    <row r="57" spans="1:25" x14ac:dyDescent="0.2">
      <c r="A57" s="211">
        <v>29</v>
      </c>
      <c r="B57" s="37"/>
      <c r="C57" s="10"/>
      <c r="D57" s="10" t="s">
        <v>280</v>
      </c>
      <c r="E57" s="19"/>
      <c r="F57" s="159" t="s">
        <v>69</v>
      </c>
      <c r="G57" s="303">
        <f>+'KIPP Assumptions'!C$32</f>
        <v>34170</v>
      </c>
      <c r="H57" s="268"/>
      <c r="I57" s="487"/>
      <c r="J57" s="487"/>
      <c r="K57" s="487"/>
      <c r="L57" s="487"/>
      <c r="M57" s="487"/>
      <c r="N57" s="487"/>
      <c r="O57" s="487"/>
      <c r="P57" s="487"/>
      <c r="Q57" s="237"/>
      <c r="R57" s="237"/>
      <c r="S57" s="237"/>
      <c r="T57" s="237"/>
      <c r="U57" s="102"/>
      <c r="V57" s="102"/>
      <c r="W57" s="102"/>
      <c r="X57" s="102"/>
      <c r="Y57" s="102"/>
    </row>
    <row r="58" spans="1:25" x14ac:dyDescent="0.2">
      <c r="A58" s="211">
        <v>30</v>
      </c>
      <c r="B58" s="37"/>
      <c r="C58" s="10"/>
      <c r="D58" s="10" t="s">
        <v>264</v>
      </c>
      <c r="E58" s="19"/>
      <c r="F58" s="159" t="s">
        <v>70</v>
      </c>
      <c r="G58" s="303">
        <f>+'KIPP Assumptions'!C$33</f>
        <v>1500</v>
      </c>
      <c r="H58" s="268"/>
      <c r="I58" s="487"/>
      <c r="J58" s="487"/>
      <c r="K58" s="487"/>
      <c r="L58" s="487"/>
      <c r="M58" s="487"/>
      <c r="N58" s="487"/>
      <c r="O58" s="487"/>
      <c r="P58" s="487"/>
      <c r="Q58" s="237"/>
      <c r="R58" s="237"/>
      <c r="S58" s="237"/>
      <c r="T58" s="237"/>
      <c r="U58" s="102"/>
      <c r="V58" s="102"/>
      <c r="W58" s="102"/>
      <c r="X58" s="102"/>
      <c r="Y58" s="102"/>
    </row>
    <row r="59" spans="1:25" x14ac:dyDescent="0.2">
      <c r="A59" s="211">
        <v>31</v>
      </c>
      <c r="B59" s="37"/>
      <c r="C59" s="10"/>
      <c r="D59" s="10" t="s">
        <v>71</v>
      </c>
      <c r="E59" s="19"/>
      <c r="F59" s="159" t="s">
        <v>72</v>
      </c>
      <c r="G59" s="303"/>
      <c r="H59" s="268"/>
      <c r="I59" s="487"/>
      <c r="J59" s="487"/>
      <c r="K59" s="487"/>
      <c r="L59" s="487"/>
      <c r="M59" s="487"/>
      <c r="N59" s="487"/>
      <c r="O59" s="487"/>
      <c r="P59" s="487"/>
      <c r="Q59" s="237"/>
      <c r="R59" s="237"/>
      <c r="S59" s="237"/>
      <c r="T59" s="237"/>
      <c r="U59" s="102"/>
      <c r="V59" s="102"/>
      <c r="W59" s="102"/>
      <c r="X59" s="102"/>
      <c r="Y59" s="102"/>
    </row>
    <row r="60" spans="1:25" x14ac:dyDescent="0.2">
      <c r="A60" s="211"/>
      <c r="B60" s="37"/>
      <c r="C60" s="10" t="s">
        <v>73</v>
      </c>
      <c r="D60" s="10"/>
      <c r="E60" s="74"/>
      <c r="F60" s="160"/>
      <c r="G60" s="309"/>
      <c r="H60" s="298"/>
      <c r="I60" s="487"/>
      <c r="J60" s="487"/>
      <c r="K60" s="487"/>
      <c r="L60" s="487"/>
      <c r="M60" s="487"/>
      <c r="N60" s="487"/>
      <c r="O60" s="487"/>
      <c r="P60" s="487"/>
      <c r="Q60" s="237"/>
      <c r="R60" s="237"/>
      <c r="S60" s="237"/>
      <c r="T60" s="237"/>
      <c r="U60" s="102"/>
      <c r="V60" s="102"/>
      <c r="W60" s="102"/>
      <c r="X60" s="102"/>
      <c r="Y60" s="102"/>
    </row>
    <row r="61" spans="1:25" x14ac:dyDescent="0.2">
      <c r="A61" s="211">
        <v>32</v>
      </c>
      <c r="B61" s="37"/>
      <c r="C61" s="10"/>
      <c r="D61" s="10" t="s">
        <v>74</v>
      </c>
      <c r="E61" s="19"/>
      <c r="F61" s="159" t="s">
        <v>75</v>
      </c>
      <c r="G61" s="303">
        <f>+'KIPP Assumptions'!C$61</f>
        <v>25000</v>
      </c>
      <c r="H61" s="268"/>
      <c r="I61" s="487"/>
      <c r="J61" s="487"/>
      <c r="K61" s="487"/>
      <c r="L61" s="487"/>
      <c r="M61" s="487"/>
      <c r="N61" s="487"/>
      <c r="O61" s="487"/>
      <c r="P61" s="487"/>
      <c r="Q61" s="237"/>
      <c r="R61" s="237"/>
      <c r="S61" s="237"/>
      <c r="T61" s="237"/>
      <c r="U61" s="102"/>
      <c r="V61" s="102"/>
      <c r="W61" s="102"/>
      <c r="X61" s="102"/>
      <c r="Y61" s="102"/>
    </row>
    <row r="62" spans="1:25" s="95" customFormat="1" ht="14.25" customHeight="1" x14ac:dyDescent="0.2">
      <c r="A62" s="215">
        <v>33</v>
      </c>
      <c r="B62" s="92"/>
      <c r="C62" s="83" t="s">
        <v>17</v>
      </c>
      <c r="D62" s="83"/>
      <c r="E62" s="93"/>
      <c r="F62" s="161"/>
      <c r="G62" s="305"/>
      <c r="H62" s="270"/>
      <c r="I62" s="488"/>
      <c r="J62" s="488"/>
      <c r="K62" s="488"/>
      <c r="L62" s="488"/>
      <c r="M62" s="488"/>
      <c r="N62" s="488"/>
      <c r="O62" s="488"/>
      <c r="P62" s="488"/>
      <c r="Q62" s="242"/>
      <c r="R62" s="242"/>
      <c r="S62" s="242"/>
      <c r="T62" s="237"/>
      <c r="U62" s="241"/>
      <c r="V62" s="241"/>
      <c r="W62" s="241"/>
      <c r="X62" s="241"/>
      <c r="Y62" s="241"/>
    </row>
    <row r="63" spans="1:25" s="95" customFormat="1" ht="14.25" customHeight="1" x14ac:dyDescent="0.2">
      <c r="A63" s="215">
        <v>34</v>
      </c>
      <c r="B63" s="92"/>
      <c r="C63" s="83"/>
      <c r="D63" s="10"/>
      <c r="E63" s="93"/>
      <c r="F63" s="159" t="s">
        <v>464</v>
      </c>
      <c r="G63" s="321">
        <v>0</v>
      </c>
      <c r="H63" s="270"/>
      <c r="I63" s="488"/>
      <c r="J63" s="488"/>
      <c r="K63" s="488"/>
      <c r="L63" s="488"/>
      <c r="M63" s="488"/>
      <c r="N63" s="488"/>
      <c r="O63" s="488"/>
      <c r="P63" s="488"/>
      <c r="Q63" s="242"/>
      <c r="R63" s="242"/>
      <c r="S63" s="242"/>
      <c r="T63" s="237"/>
      <c r="U63" s="241"/>
      <c r="V63" s="241"/>
      <c r="W63" s="241"/>
      <c r="X63" s="241"/>
      <c r="Y63" s="241"/>
    </row>
    <row r="64" spans="1:25" x14ac:dyDescent="0.2">
      <c r="A64" s="213">
        <v>35</v>
      </c>
      <c r="B64" s="43"/>
      <c r="C64" s="44"/>
      <c r="D64" s="44"/>
      <c r="E64" s="23"/>
      <c r="F64" s="162"/>
      <c r="G64" s="304"/>
      <c r="H64" s="269"/>
      <c r="I64" s="487"/>
      <c r="J64" s="487"/>
      <c r="K64" s="487"/>
      <c r="L64" s="487"/>
      <c r="M64" s="487"/>
      <c r="N64" s="487"/>
      <c r="O64" s="487"/>
      <c r="P64" s="487"/>
      <c r="Q64" s="237"/>
      <c r="R64" s="237"/>
      <c r="S64" s="237"/>
      <c r="T64" s="237"/>
      <c r="U64" s="102"/>
      <c r="V64" s="102"/>
      <c r="W64" s="102"/>
      <c r="X64" s="102"/>
      <c r="Y64" s="102"/>
    </row>
    <row r="65" spans="1:25" x14ac:dyDescent="0.2">
      <c r="A65" s="216">
        <v>36</v>
      </c>
      <c r="B65" s="48" t="s">
        <v>268</v>
      </c>
      <c r="C65" s="7"/>
      <c r="D65" s="7"/>
      <c r="E65" s="50"/>
      <c r="F65" s="163"/>
      <c r="G65" s="306">
        <f>SUM(G42:G64)</f>
        <v>736070</v>
      </c>
      <c r="H65" s="271"/>
      <c r="I65" s="487"/>
      <c r="J65" s="487"/>
      <c r="K65" s="487"/>
      <c r="L65" s="487"/>
      <c r="M65" s="487"/>
      <c r="N65" s="487"/>
      <c r="O65" s="487"/>
      <c r="P65" s="487"/>
      <c r="Q65" s="237"/>
      <c r="R65" s="237"/>
      <c r="S65" s="237"/>
      <c r="T65" s="237"/>
      <c r="U65" s="102"/>
      <c r="V65" s="102"/>
      <c r="W65" s="102"/>
      <c r="X65" s="102"/>
      <c r="Y65" s="102"/>
    </row>
    <row r="66" spans="1:25" x14ac:dyDescent="0.2">
      <c r="A66" s="211"/>
      <c r="B66" s="37"/>
      <c r="C66" s="10"/>
      <c r="D66" s="10"/>
      <c r="E66" s="62"/>
      <c r="F66" s="158"/>
      <c r="G66" s="302"/>
      <c r="H66" s="267"/>
      <c r="I66" s="487"/>
      <c r="J66" s="487"/>
      <c r="K66" s="487"/>
      <c r="L66" s="487"/>
      <c r="M66" s="487"/>
      <c r="N66" s="487"/>
      <c r="O66" s="487"/>
      <c r="P66" s="487"/>
      <c r="Q66" s="237"/>
      <c r="R66" s="237"/>
      <c r="S66" s="237"/>
      <c r="T66" s="237"/>
      <c r="U66" s="102"/>
      <c r="V66" s="102"/>
      <c r="W66" s="102"/>
      <c r="X66" s="102"/>
      <c r="Y66" s="102"/>
    </row>
    <row r="67" spans="1:25" s="14" customFormat="1" x14ac:dyDescent="0.2">
      <c r="A67" s="218"/>
      <c r="B67" s="26" t="s">
        <v>284</v>
      </c>
      <c r="C67" s="12"/>
      <c r="D67" s="12"/>
      <c r="E67" s="62"/>
      <c r="F67" s="158"/>
      <c r="G67" s="302"/>
      <c r="H67" s="267"/>
      <c r="I67" s="487"/>
      <c r="J67" s="487"/>
      <c r="K67" s="487"/>
      <c r="L67" s="487"/>
      <c r="M67" s="487"/>
      <c r="N67" s="487"/>
      <c r="O67" s="487"/>
      <c r="P67" s="487"/>
      <c r="Q67" s="237"/>
      <c r="R67" s="237"/>
      <c r="S67" s="237"/>
      <c r="T67" s="237"/>
      <c r="U67" s="102"/>
      <c r="V67" s="102"/>
      <c r="W67" s="102"/>
      <c r="X67" s="102"/>
      <c r="Y67" s="102"/>
    </row>
    <row r="68" spans="1:25" s="100" customFormat="1" x14ac:dyDescent="0.2">
      <c r="A68" s="219">
        <v>37</v>
      </c>
      <c r="B68" s="96"/>
      <c r="C68" s="97"/>
      <c r="D68" s="97"/>
      <c r="E68" s="98"/>
      <c r="F68" s="164" t="s">
        <v>252</v>
      </c>
      <c r="G68" s="310"/>
      <c r="H68" s="291"/>
      <c r="I68" s="487"/>
      <c r="J68" s="487"/>
      <c r="K68" s="487"/>
      <c r="L68" s="487"/>
      <c r="M68" s="487"/>
      <c r="N68" s="487"/>
      <c r="O68" s="487"/>
      <c r="P68" s="487"/>
      <c r="Q68" s="237"/>
      <c r="R68" s="237"/>
      <c r="S68" s="237"/>
      <c r="T68" s="237"/>
      <c r="U68" s="102"/>
      <c r="V68" s="102"/>
      <c r="W68" s="102"/>
      <c r="X68" s="102"/>
      <c r="Y68" s="102"/>
    </row>
    <row r="69" spans="1:25" ht="15" thickBot="1" x14ac:dyDescent="0.25">
      <c r="A69" s="213">
        <v>38</v>
      </c>
      <c r="B69" s="43"/>
      <c r="C69" s="44"/>
      <c r="D69" s="44"/>
      <c r="E69" s="134"/>
      <c r="F69" s="165"/>
      <c r="G69" s="311"/>
      <c r="H69" s="299"/>
      <c r="I69" s="487"/>
      <c r="J69" s="487"/>
      <c r="K69" s="487"/>
      <c r="L69" s="487"/>
      <c r="M69" s="487"/>
      <c r="N69" s="487"/>
      <c r="O69" s="487"/>
      <c r="P69" s="487"/>
      <c r="Q69" s="237"/>
      <c r="R69" s="237"/>
      <c r="S69" s="237"/>
      <c r="T69" s="237"/>
      <c r="U69" s="102"/>
      <c r="V69" s="102"/>
      <c r="W69" s="102"/>
      <c r="X69" s="102"/>
      <c r="Y69" s="102"/>
    </row>
    <row r="70" spans="1:25" ht="15" thickBot="1" x14ac:dyDescent="0.25">
      <c r="A70" s="220">
        <v>39</v>
      </c>
      <c r="B70" s="45" t="s">
        <v>271</v>
      </c>
      <c r="C70" s="8"/>
      <c r="D70" s="8"/>
      <c r="E70" s="46"/>
      <c r="F70" s="166"/>
      <c r="G70" s="312">
        <f>+G21+G33+G65+G68+G69</f>
        <v>4788030.33</v>
      </c>
      <c r="H70" s="287"/>
      <c r="I70" s="487"/>
      <c r="J70" s="487"/>
      <c r="K70" s="487"/>
      <c r="L70" s="487"/>
      <c r="M70" s="487"/>
      <c r="N70" s="487"/>
      <c r="O70" s="487"/>
      <c r="P70" s="487"/>
      <c r="Q70" s="237"/>
      <c r="R70" s="237"/>
      <c r="S70" s="237"/>
      <c r="T70" s="237"/>
      <c r="U70" s="102"/>
      <c r="V70" s="102"/>
      <c r="W70" s="102"/>
      <c r="X70" s="102"/>
      <c r="Y70" s="102"/>
    </row>
    <row r="71" spans="1:25" s="14" customFormat="1" x14ac:dyDescent="0.2">
      <c r="A71" s="238"/>
      <c r="D71" s="178"/>
      <c r="E71" s="179"/>
      <c r="F71" s="179"/>
      <c r="G71" s="313"/>
      <c r="H71" s="179"/>
      <c r="I71" s="102"/>
      <c r="J71" s="102"/>
      <c r="K71" s="102"/>
      <c r="L71" s="102"/>
      <c r="M71" s="102"/>
      <c r="N71" s="102"/>
      <c r="O71" s="102"/>
      <c r="P71" s="102"/>
      <c r="Q71" s="243"/>
      <c r="R71" s="243"/>
      <c r="S71" s="243"/>
      <c r="T71" s="243"/>
      <c r="U71" s="102"/>
      <c r="V71" s="102"/>
      <c r="W71" s="102"/>
      <c r="X71" s="102"/>
      <c r="Y71" s="102"/>
    </row>
    <row r="72" spans="1:25" s="14" customFormat="1" x14ac:dyDescent="0.2">
      <c r="A72" s="238"/>
      <c r="E72" s="180"/>
      <c r="F72" s="180"/>
      <c r="G72" s="314"/>
      <c r="H72" s="180"/>
      <c r="I72" s="102"/>
      <c r="J72" s="102"/>
      <c r="K72" s="102"/>
      <c r="L72" s="102"/>
      <c r="M72" s="102"/>
      <c r="N72" s="102"/>
      <c r="O72" s="102"/>
      <c r="P72" s="102"/>
      <c r="Q72" s="243"/>
      <c r="R72" s="243"/>
      <c r="S72" s="243"/>
      <c r="T72" s="243"/>
      <c r="U72" s="102"/>
      <c r="V72" s="102"/>
      <c r="W72" s="102"/>
      <c r="X72" s="102"/>
      <c r="Y72" s="102"/>
    </row>
    <row r="73" spans="1:25" s="14" customFormat="1" x14ac:dyDescent="0.2">
      <c r="A73" s="238"/>
      <c r="E73" s="180"/>
      <c r="F73" s="180"/>
      <c r="G73" s="314"/>
      <c r="H73" s="180"/>
      <c r="I73" s="102"/>
      <c r="J73" s="102"/>
      <c r="K73" s="102"/>
      <c r="M73" s="102"/>
      <c r="N73" s="102"/>
      <c r="O73" s="102"/>
      <c r="P73" s="102"/>
      <c r="Q73" s="243"/>
      <c r="R73" s="243"/>
      <c r="S73" s="243"/>
      <c r="T73" s="243"/>
      <c r="U73" s="102"/>
      <c r="V73" s="102"/>
      <c r="W73" s="102"/>
      <c r="X73" s="102"/>
      <c r="Y73" s="102"/>
    </row>
    <row r="74" spans="1:25" s="14" customFormat="1" ht="20.25" customHeight="1" x14ac:dyDescent="0.25">
      <c r="A74" s="222"/>
      <c r="B74" s="21" t="s">
        <v>273</v>
      </c>
      <c r="E74" s="15"/>
      <c r="F74" s="167"/>
      <c r="G74" s="315"/>
      <c r="H74" s="283"/>
      <c r="I74" s="487"/>
      <c r="J74" s="489"/>
      <c r="K74" s="489"/>
      <c r="L74" s="498"/>
      <c r="M74" s="102"/>
      <c r="N74" s="102"/>
      <c r="O74" s="487"/>
      <c r="P74" s="487"/>
      <c r="Q74" s="237"/>
      <c r="R74" s="237"/>
      <c r="S74" s="237"/>
      <c r="T74" s="237"/>
      <c r="U74" s="102"/>
      <c r="V74" s="102"/>
      <c r="W74" s="102"/>
      <c r="X74" s="102"/>
      <c r="Y74" s="102"/>
    </row>
    <row r="75" spans="1:25" ht="14.25" customHeight="1" x14ac:dyDescent="0.2">
      <c r="A75" s="222"/>
      <c r="D75" s="14"/>
      <c r="E75" s="15" t="s">
        <v>33</v>
      </c>
      <c r="F75" s="167"/>
      <c r="G75" s="315"/>
      <c r="H75" s="283"/>
      <c r="I75" s="487"/>
      <c r="J75" s="487"/>
      <c r="K75" s="487"/>
      <c r="L75" s="499"/>
      <c r="M75" s="102"/>
      <c r="N75" s="102"/>
      <c r="O75" s="487"/>
      <c r="P75" s="487"/>
      <c r="Q75" s="237"/>
      <c r="R75" s="237"/>
      <c r="S75" s="237"/>
      <c r="T75" s="237"/>
      <c r="U75" s="102"/>
      <c r="V75" s="102"/>
      <c r="W75" s="102"/>
      <c r="X75" s="102"/>
      <c r="Y75" s="102"/>
    </row>
    <row r="76" spans="1:25" s="5" customFormat="1" ht="15" customHeight="1" x14ac:dyDescent="0.25">
      <c r="A76" s="223"/>
      <c r="B76" s="55" t="s">
        <v>16</v>
      </c>
      <c r="C76" s="56"/>
      <c r="D76" s="56"/>
      <c r="E76" s="64" t="s">
        <v>33</v>
      </c>
      <c r="F76" s="168"/>
      <c r="G76" s="316"/>
      <c r="H76" s="284"/>
      <c r="I76" s="489"/>
      <c r="J76" s="489"/>
      <c r="K76" s="489"/>
      <c r="L76" s="487"/>
      <c r="M76" s="618"/>
      <c r="N76" s="499"/>
      <c r="O76" s="489"/>
      <c r="P76" s="489"/>
      <c r="Q76" s="244"/>
      <c r="R76" s="244"/>
      <c r="S76" s="244"/>
      <c r="T76" s="244"/>
      <c r="U76" s="240"/>
      <c r="V76" s="240"/>
      <c r="W76" s="240"/>
      <c r="X76" s="240"/>
      <c r="Y76" s="240"/>
    </row>
    <row r="77" spans="1:25" s="5" customFormat="1" ht="15" customHeight="1" x14ac:dyDescent="0.25">
      <c r="A77" s="224"/>
      <c r="B77" s="90" t="s">
        <v>274</v>
      </c>
      <c r="C77" s="57"/>
      <c r="D77" s="57"/>
      <c r="E77" s="66"/>
      <c r="F77" s="169"/>
      <c r="G77" s="317"/>
      <c r="H77" s="285"/>
      <c r="I77" s="489"/>
      <c r="J77" s="489"/>
      <c r="K77" s="489"/>
      <c r="L77" s="498"/>
      <c r="M77" s="515"/>
      <c r="N77" s="495"/>
      <c r="O77" s="618"/>
      <c r="P77" s="489"/>
      <c r="Q77" s="244"/>
      <c r="R77" s="244"/>
      <c r="S77" s="244"/>
      <c r="T77" s="244"/>
      <c r="U77" s="240"/>
      <c r="V77" s="240"/>
      <c r="W77" s="240"/>
      <c r="X77" s="240"/>
      <c r="Y77" s="240"/>
    </row>
    <row r="78" spans="1:25" ht="14.25" customHeight="1" x14ac:dyDescent="0.2">
      <c r="A78" s="225"/>
      <c r="B78" s="37"/>
      <c r="C78" s="10" t="s">
        <v>76</v>
      </c>
      <c r="D78" s="10"/>
      <c r="E78" s="62"/>
      <c r="F78" s="158"/>
      <c r="G78" s="302"/>
      <c r="H78" s="267"/>
      <c r="I78" s="487"/>
      <c r="J78" s="487"/>
      <c r="K78" s="487"/>
      <c r="L78" s="499"/>
      <c r="M78" s="515"/>
      <c r="N78" s="495"/>
      <c r="O78" s="102"/>
      <c r="P78" s="487"/>
      <c r="Q78" s="237"/>
      <c r="R78" s="237"/>
      <c r="S78" s="237"/>
      <c r="T78" s="237"/>
      <c r="U78" s="102"/>
      <c r="V78" s="102"/>
      <c r="W78" s="102"/>
      <c r="X78" s="102"/>
      <c r="Y78" s="102"/>
    </row>
    <row r="79" spans="1:25" ht="14.25" customHeight="1" x14ac:dyDescent="0.2">
      <c r="A79" s="225">
        <v>40</v>
      </c>
      <c r="B79" s="37"/>
      <c r="C79" s="10"/>
      <c r="D79" s="10" t="s">
        <v>117</v>
      </c>
      <c r="E79" s="19">
        <v>112</v>
      </c>
      <c r="F79" s="159">
        <v>1100</v>
      </c>
      <c r="G79" s="303">
        <f>SUM(I79*J79,K79*L79)</f>
        <v>736637.5</v>
      </c>
      <c r="H79" s="268" t="s">
        <v>517</v>
      </c>
      <c r="I79" s="490">
        <f>+'KIPP Assumptions'!C$83</f>
        <v>14</v>
      </c>
      <c r="J79" s="314">
        <f>+'Yr 1 Operating Statement of Act'!J79*(1+'Operating Statement of Act'!$M$79)</f>
        <v>48331.25</v>
      </c>
      <c r="K79" s="490">
        <f>'KIPP Assumptions'!C84</f>
        <v>2</v>
      </c>
      <c r="L79" s="314">
        <v>30000</v>
      </c>
      <c r="M79" s="487"/>
      <c r="N79" s="487"/>
      <c r="O79" s="487"/>
      <c r="P79" s="487"/>
      <c r="Q79" s="237"/>
      <c r="R79" s="237"/>
      <c r="S79" s="237"/>
      <c r="T79" s="237"/>
      <c r="U79" s="102"/>
      <c r="V79" s="102"/>
      <c r="W79" s="102"/>
      <c r="X79" s="102"/>
      <c r="Y79" s="102"/>
    </row>
    <row r="80" spans="1:25" ht="14.25" customHeight="1" x14ac:dyDescent="0.2">
      <c r="A80" s="225">
        <v>41</v>
      </c>
      <c r="B80" s="37"/>
      <c r="C80" s="10"/>
      <c r="D80" s="10" t="s">
        <v>78</v>
      </c>
      <c r="E80" s="19" t="s">
        <v>79</v>
      </c>
      <c r="F80" s="159" t="s">
        <v>80</v>
      </c>
      <c r="G80" s="303"/>
      <c r="H80" s="268"/>
      <c r="I80" s="490"/>
      <c r="J80" s="487"/>
      <c r="K80" s="314"/>
      <c r="L80" s="491"/>
      <c r="M80" s="487"/>
      <c r="N80" s="487"/>
      <c r="O80" s="487"/>
      <c r="P80" s="487"/>
      <c r="Q80" s="237"/>
      <c r="R80" s="237"/>
      <c r="S80" s="237"/>
      <c r="T80" s="237"/>
      <c r="U80" s="102"/>
      <c r="V80" s="102"/>
      <c r="W80" s="102"/>
      <c r="X80" s="102"/>
      <c r="Y80" s="102"/>
    </row>
    <row r="81" spans="1:25" ht="14.25" customHeight="1" x14ac:dyDescent="0.2">
      <c r="A81" s="225">
        <v>42</v>
      </c>
      <c r="B81" s="37"/>
      <c r="C81" s="10"/>
      <c r="D81" s="10" t="s">
        <v>81</v>
      </c>
      <c r="E81" s="19" t="s">
        <v>82</v>
      </c>
      <c r="F81" s="159" t="s">
        <v>80</v>
      </c>
      <c r="G81" s="303"/>
      <c r="H81" s="290"/>
      <c r="I81" s="490"/>
      <c r="J81" s="487"/>
      <c r="K81" s="487"/>
      <c r="L81" s="491"/>
      <c r="M81" s="487"/>
      <c r="N81" s="487"/>
      <c r="O81" s="487"/>
      <c r="P81" s="487"/>
      <c r="Q81" s="237"/>
      <c r="R81" s="237"/>
      <c r="S81" s="237"/>
      <c r="T81" s="237"/>
      <c r="U81" s="102"/>
      <c r="V81" s="102"/>
      <c r="W81" s="102"/>
      <c r="X81" s="102"/>
      <c r="Y81" s="102"/>
    </row>
    <row r="82" spans="1:25" x14ac:dyDescent="0.2">
      <c r="A82" s="225">
        <v>43</v>
      </c>
      <c r="B82" s="37"/>
      <c r="C82" s="10" t="s">
        <v>83</v>
      </c>
      <c r="D82" s="10"/>
      <c r="E82" s="19" t="s">
        <v>84</v>
      </c>
      <c r="F82" s="159" t="s">
        <v>80</v>
      </c>
      <c r="G82" s="303">
        <v>56830.451612903227</v>
      </c>
      <c r="H82" s="268" t="s">
        <v>472</v>
      </c>
      <c r="I82" s="490"/>
      <c r="J82" s="491"/>
      <c r="K82" s="487"/>
      <c r="L82" s="491"/>
      <c r="M82" s="487"/>
      <c r="N82" s="487"/>
      <c r="O82" s="487"/>
      <c r="P82" s="487"/>
      <c r="Q82" s="237"/>
      <c r="R82" s="237"/>
      <c r="S82" s="237"/>
      <c r="T82" s="237"/>
      <c r="U82" s="102"/>
      <c r="V82" s="102"/>
      <c r="W82" s="102"/>
      <c r="X82" s="102"/>
      <c r="Y82" s="102"/>
    </row>
    <row r="83" spans="1:25" ht="14.25" customHeight="1" x14ac:dyDescent="0.2">
      <c r="A83" s="225">
        <v>44</v>
      </c>
      <c r="B83" s="37"/>
      <c r="C83" s="10" t="s">
        <v>85</v>
      </c>
      <c r="D83" s="10"/>
      <c r="E83" s="19" t="s">
        <v>86</v>
      </c>
      <c r="F83" s="159" t="s">
        <v>80</v>
      </c>
      <c r="G83" s="303"/>
      <c r="H83" s="268"/>
      <c r="I83" s="490"/>
      <c r="J83" s="487"/>
      <c r="K83" s="487"/>
      <c r="L83" s="491"/>
      <c r="M83" s="487"/>
      <c r="N83" s="487"/>
      <c r="O83" s="487"/>
      <c r="P83" s="487"/>
      <c r="Q83" s="237"/>
      <c r="R83" s="237"/>
      <c r="S83" s="237"/>
      <c r="T83" s="237"/>
      <c r="U83" s="102"/>
      <c r="V83" s="102"/>
      <c r="W83" s="102"/>
      <c r="X83" s="102"/>
      <c r="Y83" s="102"/>
    </row>
    <row r="84" spans="1:25" x14ac:dyDescent="0.2">
      <c r="A84" s="225">
        <v>45</v>
      </c>
      <c r="B84" s="37"/>
      <c r="C84" s="10" t="s">
        <v>87</v>
      </c>
      <c r="D84" s="10"/>
      <c r="E84" s="19" t="s">
        <v>88</v>
      </c>
      <c r="F84" s="159" t="s">
        <v>80</v>
      </c>
      <c r="G84" s="303">
        <v>5100</v>
      </c>
      <c r="H84" s="268" t="s">
        <v>430</v>
      </c>
      <c r="I84" s="490"/>
      <c r="J84" s="491"/>
      <c r="K84" s="491"/>
      <c r="L84" s="491"/>
      <c r="M84" s="487"/>
      <c r="N84" s="487"/>
      <c r="O84" s="487"/>
      <c r="P84" s="487"/>
      <c r="Q84" s="237"/>
      <c r="R84" s="237"/>
      <c r="S84" s="237"/>
      <c r="T84" s="237"/>
      <c r="U84" s="102"/>
      <c r="V84" s="102"/>
      <c r="W84" s="102"/>
      <c r="X84" s="102"/>
      <c r="Y84" s="102"/>
    </row>
    <row r="85" spans="1:25" ht="14.25" customHeight="1" x14ac:dyDescent="0.2">
      <c r="A85" s="225"/>
      <c r="B85" s="37"/>
      <c r="C85" s="10" t="s">
        <v>89</v>
      </c>
      <c r="D85" s="10"/>
      <c r="E85" s="62"/>
      <c r="F85" s="158"/>
      <c r="G85" s="302"/>
      <c r="H85" s="267"/>
      <c r="I85" s="490"/>
      <c r="J85" s="487"/>
      <c r="K85" s="487"/>
      <c r="L85" s="491"/>
      <c r="M85" s="487"/>
      <c r="N85" s="487"/>
      <c r="O85" s="487"/>
      <c r="P85" s="487"/>
      <c r="Q85" s="237"/>
      <c r="R85" s="237"/>
      <c r="S85" s="237"/>
      <c r="T85" s="237"/>
      <c r="U85" s="102"/>
      <c r="V85" s="102"/>
      <c r="W85" s="102"/>
      <c r="X85" s="102"/>
      <c r="Y85" s="102"/>
    </row>
    <row r="86" spans="1:25" x14ac:dyDescent="0.2">
      <c r="A86" s="225">
        <v>46</v>
      </c>
      <c r="B86" s="37"/>
      <c r="C86" s="10"/>
      <c r="D86" s="10" t="s">
        <v>6</v>
      </c>
      <c r="E86" s="19" t="s">
        <v>90</v>
      </c>
      <c r="F86" s="159" t="s">
        <v>80</v>
      </c>
      <c r="G86" s="303">
        <v>87013.238709677418</v>
      </c>
      <c r="H86" s="268" t="s">
        <v>434</v>
      </c>
      <c r="I86" s="490"/>
      <c r="J86" s="491"/>
      <c r="K86" s="487"/>
      <c r="L86" s="491"/>
      <c r="M86" s="487"/>
      <c r="N86" s="487"/>
      <c r="O86" s="487"/>
      <c r="P86" s="487"/>
      <c r="Q86" s="237"/>
      <c r="R86" s="237"/>
      <c r="S86" s="237"/>
      <c r="T86" s="237"/>
      <c r="U86" s="102"/>
      <c r="V86" s="102"/>
      <c r="W86" s="102"/>
      <c r="X86" s="102"/>
      <c r="Y86" s="102"/>
    </row>
    <row r="87" spans="1:25" x14ac:dyDescent="0.2">
      <c r="A87" s="225">
        <v>47</v>
      </c>
      <c r="B87" s="37"/>
      <c r="C87" s="10"/>
      <c r="D87" s="10" t="s">
        <v>91</v>
      </c>
      <c r="E87" s="19" t="s">
        <v>92</v>
      </c>
      <c r="F87" s="159" t="s">
        <v>80</v>
      </c>
      <c r="G87" s="303">
        <v>12305.806451612903</v>
      </c>
      <c r="H87" s="268"/>
      <c r="I87" s="490"/>
      <c r="J87" s="491"/>
      <c r="K87" s="487"/>
      <c r="L87" s="491"/>
      <c r="M87" s="487"/>
      <c r="N87" s="487"/>
      <c r="O87" s="487"/>
      <c r="P87" s="487"/>
      <c r="Q87" s="237"/>
      <c r="R87" s="237"/>
      <c r="S87" s="237"/>
      <c r="T87" s="237"/>
      <c r="U87" s="102"/>
      <c r="V87" s="102"/>
      <c r="W87" s="102"/>
      <c r="X87" s="102"/>
      <c r="Y87" s="102"/>
    </row>
    <row r="88" spans="1:25" x14ac:dyDescent="0.2">
      <c r="A88" s="225">
        <v>48</v>
      </c>
      <c r="B88" s="37"/>
      <c r="C88" s="10" t="s">
        <v>93</v>
      </c>
      <c r="D88" s="10"/>
      <c r="E88" s="19" t="s">
        <v>94</v>
      </c>
      <c r="F88" s="159" t="s">
        <v>80</v>
      </c>
      <c r="G88" s="303">
        <v>0</v>
      </c>
      <c r="H88" s="268" t="s">
        <v>513</v>
      </c>
      <c r="I88" s="490"/>
      <c r="J88" s="491"/>
      <c r="K88" s="487"/>
      <c r="L88" s="491"/>
      <c r="M88" s="487"/>
      <c r="N88" s="487"/>
      <c r="O88" s="487"/>
      <c r="P88" s="487"/>
      <c r="Q88" s="237"/>
      <c r="R88" s="237"/>
      <c r="S88" s="237"/>
      <c r="T88" s="237"/>
      <c r="U88" s="102"/>
      <c r="V88" s="102"/>
      <c r="W88" s="102"/>
      <c r="X88" s="102"/>
      <c r="Y88" s="102"/>
    </row>
    <row r="89" spans="1:25" ht="14.25" customHeight="1" x14ac:dyDescent="0.2">
      <c r="A89" s="225">
        <v>49</v>
      </c>
      <c r="B89" s="37"/>
      <c r="C89" s="10" t="s">
        <v>95</v>
      </c>
      <c r="D89" s="10"/>
      <c r="E89" s="19" t="s">
        <v>96</v>
      </c>
      <c r="F89" s="159" t="s">
        <v>80</v>
      </c>
      <c r="G89" s="303"/>
      <c r="H89" s="268"/>
      <c r="I89" s="490"/>
      <c r="J89" s="487"/>
      <c r="K89" s="487"/>
      <c r="L89" s="491"/>
      <c r="M89" s="487"/>
      <c r="N89" s="487"/>
      <c r="O89" s="487"/>
      <c r="P89" s="487"/>
      <c r="Q89" s="237"/>
      <c r="R89" s="237"/>
      <c r="S89" s="237"/>
      <c r="T89" s="237"/>
      <c r="U89" s="102"/>
      <c r="V89" s="102"/>
      <c r="W89" s="102"/>
      <c r="X89" s="102"/>
      <c r="Y89" s="102"/>
    </row>
    <row r="90" spans="1:25" ht="14.25" customHeight="1" x14ac:dyDescent="0.2">
      <c r="A90" s="225">
        <v>50</v>
      </c>
      <c r="B90" s="37"/>
      <c r="C90" s="10" t="s">
        <v>295</v>
      </c>
      <c r="D90" s="10"/>
      <c r="E90" s="19" t="s">
        <v>97</v>
      </c>
      <c r="F90" s="159" t="s">
        <v>80</v>
      </c>
      <c r="G90" s="303">
        <f>+SUM(G$79:G$81)*I90</f>
        <v>52134.291888541011</v>
      </c>
      <c r="H90" s="268"/>
      <c r="I90" s="492">
        <f>'KIPP Assumptions'!$B$105+'KIPP Assumptions'!$B$106+'KIPP Assumptions'!$B$107+'KIPP Assumptions'!$B$108+'KIPP Assumptions'!$B$109</f>
        <v>7.0773334087038758E-2</v>
      </c>
      <c r="J90" s="487"/>
      <c r="K90" s="487"/>
      <c r="L90" s="491"/>
      <c r="M90" s="487"/>
      <c r="N90" s="487"/>
      <c r="O90" s="487"/>
      <c r="P90" s="487"/>
      <c r="Q90" s="237"/>
      <c r="R90" s="237"/>
      <c r="S90" s="237"/>
      <c r="T90" s="237"/>
      <c r="U90" s="102"/>
      <c r="V90" s="102"/>
      <c r="W90" s="102"/>
      <c r="X90" s="102"/>
      <c r="Y90" s="102"/>
    </row>
    <row r="91" spans="1:25" ht="14.25" customHeight="1" x14ac:dyDescent="0.2">
      <c r="A91" s="225">
        <v>51</v>
      </c>
      <c r="B91" s="37"/>
      <c r="C91" s="10" t="s">
        <v>98</v>
      </c>
      <c r="D91" s="10"/>
      <c r="E91" s="19" t="s">
        <v>99</v>
      </c>
      <c r="F91" s="159" t="s">
        <v>80</v>
      </c>
      <c r="G91" s="303">
        <f t="shared" ref="G91:G94" si="0">+SUM(G$79:G$81)*I91</f>
        <v>45671.525000000001</v>
      </c>
      <c r="H91" s="268"/>
      <c r="I91" s="492">
        <f>'KIPP Assumptions'!$B$111</f>
        <v>6.2E-2</v>
      </c>
      <c r="J91" s="487"/>
      <c r="K91" s="487"/>
      <c r="L91" s="491"/>
      <c r="M91" s="487"/>
      <c r="N91" s="487"/>
      <c r="O91" s="487"/>
      <c r="P91" s="487"/>
      <c r="Q91" s="237"/>
      <c r="R91" s="237"/>
      <c r="S91" s="237"/>
      <c r="T91" s="237"/>
      <c r="U91" s="102"/>
      <c r="V91" s="102"/>
      <c r="W91" s="102"/>
      <c r="X91" s="102"/>
      <c r="Y91" s="102"/>
    </row>
    <row r="92" spans="1:25" ht="14.25" customHeight="1" x14ac:dyDescent="0.2">
      <c r="A92" s="225">
        <v>52</v>
      </c>
      <c r="B92" s="37"/>
      <c r="C92" s="10" t="s">
        <v>100</v>
      </c>
      <c r="D92" s="10"/>
      <c r="E92" s="19" t="s">
        <v>101</v>
      </c>
      <c r="F92" s="159" t="s">
        <v>80</v>
      </c>
      <c r="G92" s="303">
        <f t="shared" si="0"/>
        <v>10681.24375</v>
      </c>
      <c r="H92" s="268"/>
      <c r="I92" s="492">
        <f>'KIPP Assumptions'!$B$110</f>
        <v>1.4500000000000001E-2</v>
      </c>
      <c r="J92" s="487"/>
      <c r="K92" s="487"/>
      <c r="L92" s="491"/>
      <c r="M92" s="487"/>
      <c r="N92" s="487"/>
      <c r="O92" s="487"/>
      <c r="P92" s="487"/>
      <c r="Q92" s="237"/>
      <c r="R92" s="237"/>
      <c r="S92" s="237"/>
      <c r="T92" s="237"/>
      <c r="U92" s="102"/>
      <c r="V92" s="102"/>
      <c r="W92" s="102"/>
      <c r="X92" s="102"/>
      <c r="Y92" s="102"/>
    </row>
    <row r="93" spans="1:25" ht="14.25" customHeight="1" x14ac:dyDescent="0.2">
      <c r="A93" s="225">
        <v>53</v>
      </c>
      <c r="B93" s="37"/>
      <c r="C93" s="10" t="s">
        <v>219</v>
      </c>
      <c r="D93" s="10"/>
      <c r="E93" s="19" t="s">
        <v>220</v>
      </c>
      <c r="F93" s="159">
        <v>1100</v>
      </c>
      <c r="G93" s="303">
        <f t="shared" si="0"/>
        <v>23667.490193263133</v>
      </c>
      <c r="H93" s="268"/>
      <c r="I93" s="492">
        <f>+'KIPP Assumptions'!$B$113</f>
        <v>3.21290868212155E-2</v>
      </c>
      <c r="J93" s="487"/>
      <c r="K93" s="487"/>
      <c r="L93" s="491"/>
      <c r="M93" s="487"/>
      <c r="N93" s="487"/>
      <c r="O93" s="487"/>
      <c r="P93" s="487"/>
      <c r="Q93" s="237"/>
      <c r="R93" s="237"/>
      <c r="S93" s="237"/>
      <c r="T93" s="237"/>
      <c r="U93" s="102"/>
      <c r="V93" s="102"/>
      <c r="W93" s="102"/>
      <c r="X93" s="102"/>
      <c r="Y93" s="102"/>
    </row>
    <row r="94" spans="1:25" ht="14.25" customHeight="1" x14ac:dyDescent="0.2">
      <c r="A94" s="225">
        <v>54</v>
      </c>
      <c r="B94" s="37"/>
      <c r="C94" s="10" t="s">
        <v>102</v>
      </c>
      <c r="D94" s="10"/>
      <c r="E94" s="19" t="s">
        <v>103</v>
      </c>
      <c r="F94" s="159" t="s">
        <v>80</v>
      </c>
      <c r="G94" s="303">
        <f t="shared" si="0"/>
        <v>736.63750000000005</v>
      </c>
      <c r="H94" s="268"/>
      <c r="I94" s="492">
        <f>+'KIPP Assumptions'!$B$112</f>
        <v>1E-3</v>
      </c>
      <c r="J94" s="487"/>
      <c r="K94" s="487"/>
      <c r="L94" s="491"/>
      <c r="M94" s="487"/>
      <c r="N94" s="487"/>
      <c r="O94" s="487"/>
      <c r="P94" s="487"/>
      <c r="Q94" s="237"/>
      <c r="R94" s="237"/>
      <c r="S94" s="237"/>
      <c r="T94" s="237"/>
      <c r="U94" s="102"/>
      <c r="V94" s="102"/>
      <c r="W94" s="102"/>
      <c r="X94" s="102"/>
      <c r="Y94" s="102"/>
    </row>
    <row r="95" spans="1:25" ht="14.25" customHeight="1" x14ac:dyDescent="0.2">
      <c r="A95" s="225">
        <v>55</v>
      </c>
      <c r="B95" s="37"/>
      <c r="C95" s="10" t="s">
        <v>104</v>
      </c>
      <c r="D95" s="10"/>
      <c r="E95" s="19" t="s">
        <v>105</v>
      </c>
      <c r="F95" s="159" t="s">
        <v>80</v>
      </c>
      <c r="G95" s="303"/>
      <c r="H95" s="268"/>
      <c r="J95" s="487"/>
      <c r="K95" s="487"/>
      <c r="L95" s="491"/>
      <c r="M95" s="487"/>
      <c r="N95" s="487"/>
      <c r="O95" s="487"/>
      <c r="P95" s="487"/>
      <c r="Q95" s="237"/>
      <c r="R95" s="237"/>
      <c r="S95" s="237"/>
      <c r="T95" s="237"/>
      <c r="U95" s="102"/>
      <c r="V95" s="102"/>
      <c r="W95" s="102"/>
      <c r="X95" s="102"/>
      <c r="Y95" s="102"/>
    </row>
    <row r="96" spans="1:25" ht="14.25" customHeight="1" x14ac:dyDescent="0.2">
      <c r="A96" s="225">
        <v>56</v>
      </c>
      <c r="B96" s="37"/>
      <c r="C96" s="86" t="s">
        <v>283</v>
      </c>
      <c r="D96" s="10"/>
      <c r="E96" s="19"/>
      <c r="F96" s="159"/>
      <c r="G96" s="303"/>
      <c r="H96" s="268"/>
      <c r="I96" s="490"/>
      <c r="J96" s="487"/>
      <c r="K96" s="487"/>
      <c r="L96" s="491"/>
      <c r="M96" s="487"/>
      <c r="N96" s="487"/>
      <c r="O96" s="487"/>
      <c r="P96" s="487"/>
      <c r="Q96" s="237"/>
      <c r="R96" s="237"/>
      <c r="S96" s="237"/>
      <c r="T96" s="237"/>
      <c r="U96" s="102"/>
      <c r="V96" s="102"/>
      <c r="W96" s="102"/>
      <c r="X96" s="102"/>
      <c r="Y96" s="102"/>
    </row>
    <row r="97" spans="1:25" x14ac:dyDescent="0.2">
      <c r="A97" s="225">
        <v>57</v>
      </c>
      <c r="B97" s="37"/>
      <c r="C97" s="10" t="s">
        <v>446</v>
      </c>
      <c r="D97" s="10"/>
      <c r="E97" s="19">
        <v>150</v>
      </c>
      <c r="F97" s="159">
        <v>1100</v>
      </c>
      <c r="G97" s="303">
        <f>+'KIPP Assumptions'!C$97*J97*(1.0765)</f>
        <v>38754</v>
      </c>
      <c r="H97" s="268" t="s">
        <v>517</v>
      </c>
      <c r="I97" s="490">
        <f>'KIPP Assumptions'!C97</f>
        <v>9</v>
      </c>
      <c r="J97" s="491">
        <f>+'Yr 1 Operating Statement of Act'!J97*(1+'Operating Statement of Act'!$M$97)</f>
        <v>4000</v>
      </c>
      <c r="K97" s="487"/>
      <c r="L97" s="491"/>
      <c r="M97" s="487"/>
      <c r="N97" s="487"/>
      <c r="O97" s="487"/>
      <c r="P97" s="487"/>
      <c r="Q97" s="237"/>
      <c r="R97" s="237"/>
      <c r="S97" s="237"/>
      <c r="T97" s="237"/>
      <c r="U97" s="102"/>
      <c r="V97" s="102"/>
      <c r="W97" s="102"/>
      <c r="X97" s="102"/>
      <c r="Y97" s="102"/>
    </row>
    <row r="98" spans="1:25" ht="14.25" customHeight="1" x14ac:dyDescent="0.2">
      <c r="A98" s="225">
        <v>58</v>
      </c>
      <c r="B98" s="37"/>
      <c r="C98" s="86"/>
      <c r="D98" s="10"/>
      <c r="E98" s="19"/>
      <c r="F98" s="159"/>
      <c r="G98" s="303"/>
      <c r="H98" s="268"/>
      <c r="I98" s="490"/>
      <c r="J98" s="487"/>
      <c r="K98" s="487"/>
      <c r="L98" s="491"/>
      <c r="M98" s="487"/>
      <c r="N98" s="487"/>
      <c r="O98" s="487"/>
      <c r="P98" s="487"/>
      <c r="Q98" s="237"/>
      <c r="R98" s="237"/>
      <c r="S98" s="237"/>
      <c r="T98" s="237"/>
      <c r="U98" s="102"/>
      <c r="V98" s="102"/>
      <c r="W98" s="102"/>
      <c r="X98" s="102"/>
      <c r="Y98" s="102"/>
    </row>
    <row r="99" spans="1:25" ht="14.25" customHeight="1" x14ac:dyDescent="0.2">
      <c r="A99" s="225">
        <v>59</v>
      </c>
      <c r="D99" s="14"/>
      <c r="E99" s="15"/>
      <c r="F99" s="167"/>
      <c r="G99" s="315"/>
      <c r="H99" s="283"/>
      <c r="I99" s="490"/>
      <c r="J99" s="487"/>
      <c r="K99" s="487"/>
      <c r="L99" s="491"/>
      <c r="M99" s="487"/>
      <c r="N99" s="487"/>
      <c r="O99" s="487"/>
      <c r="P99" s="487"/>
      <c r="Q99" s="237"/>
      <c r="R99" s="237"/>
      <c r="S99" s="237"/>
      <c r="T99" s="237"/>
      <c r="U99" s="102"/>
      <c r="V99" s="102"/>
      <c r="W99" s="102"/>
      <c r="X99" s="102"/>
      <c r="Y99" s="102"/>
    </row>
    <row r="100" spans="1:25" ht="15" customHeight="1" x14ac:dyDescent="0.25">
      <c r="A100" s="226">
        <v>60</v>
      </c>
      <c r="B100" s="88" t="s">
        <v>106</v>
      </c>
      <c r="C100" s="52"/>
      <c r="D100" s="52"/>
      <c r="E100" s="50"/>
      <c r="F100" s="163"/>
      <c r="G100" s="306">
        <f>SUM(G78:G99)</f>
        <v>1069532.1851059976</v>
      </c>
      <c r="H100" s="271"/>
      <c r="I100" s="490"/>
      <c r="J100" s="487"/>
      <c r="K100" s="487"/>
      <c r="L100" s="491"/>
      <c r="M100" s="487"/>
      <c r="N100" s="487"/>
      <c r="O100" s="487"/>
      <c r="P100" s="487"/>
      <c r="Q100" s="237"/>
      <c r="R100" s="237"/>
      <c r="S100" s="237"/>
      <c r="T100" s="237"/>
      <c r="U100" s="102"/>
      <c r="V100" s="102"/>
      <c r="W100" s="102"/>
      <c r="X100" s="102"/>
      <c r="Y100" s="102"/>
    </row>
    <row r="101" spans="1:25" ht="14.25" customHeight="1" x14ac:dyDescent="0.2">
      <c r="A101" s="225"/>
      <c r="D101" s="14"/>
      <c r="E101" s="15"/>
      <c r="F101" s="167"/>
      <c r="G101" s="315"/>
      <c r="H101" s="283"/>
      <c r="I101" s="490"/>
      <c r="J101" s="487"/>
      <c r="K101" s="487"/>
      <c r="L101" s="491"/>
      <c r="M101" s="487"/>
      <c r="N101" s="487"/>
      <c r="O101" s="487"/>
      <c r="P101" s="487"/>
      <c r="Q101" s="237"/>
      <c r="R101" s="237"/>
      <c r="S101" s="237"/>
      <c r="T101" s="237"/>
      <c r="U101" s="102"/>
      <c r="V101" s="102"/>
      <c r="W101" s="102"/>
      <c r="X101" s="102"/>
      <c r="Y101" s="102"/>
    </row>
    <row r="102" spans="1:25" s="5" customFormat="1" ht="15" customHeight="1" x14ac:dyDescent="0.25">
      <c r="A102" s="227"/>
      <c r="B102" s="91" t="s">
        <v>14</v>
      </c>
      <c r="C102" s="56"/>
      <c r="D102" s="60"/>
      <c r="E102" s="64"/>
      <c r="F102" s="168"/>
      <c r="G102" s="316"/>
      <c r="H102" s="284"/>
      <c r="I102" s="490"/>
      <c r="J102" s="489"/>
      <c r="K102" s="489"/>
      <c r="L102" s="491"/>
      <c r="M102" s="489"/>
      <c r="N102" s="489"/>
      <c r="O102" s="489"/>
      <c r="P102" s="489"/>
      <c r="Q102" s="244"/>
      <c r="R102" s="244"/>
      <c r="S102" s="244"/>
      <c r="T102" s="244"/>
      <c r="U102" s="240"/>
      <c r="V102" s="240"/>
      <c r="W102" s="240"/>
      <c r="X102" s="240"/>
      <c r="Y102" s="240"/>
    </row>
    <row r="103" spans="1:25" s="5" customFormat="1" ht="15" customHeight="1" x14ac:dyDescent="0.25">
      <c r="A103" s="228"/>
      <c r="B103" s="90" t="s">
        <v>15</v>
      </c>
      <c r="C103" s="57"/>
      <c r="D103" s="61"/>
      <c r="E103" s="66"/>
      <c r="F103" s="169"/>
      <c r="G103" s="317"/>
      <c r="H103" s="285"/>
      <c r="I103" s="490"/>
      <c r="J103" s="489"/>
      <c r="K103" s="489"/>
      <c r="L103" s="491"/>
      <c r="M103" s="489"/>
      <c r="N103" s="489"/>
      <c r="O103" s="489"/>
      <c r="P103" s="489"/>
      <c r="Q103" s="244"/>
      <c r="R103" s="244"/>
      <c r="S103" s="244"/>
      <c r="T103" s="244"/>
      <c r="U103" s="240"/>
      <c r="V103" s="240"/>
      <c r="W103" s="240"/>
      <c r="X103" s="240"/>
      <c r="Y103" s="240"/>
    </row>
    <row r="104" spans="1:25" ht="14.25" customHeight="1" x14ac:dyDescent="0.2">
      <c r="A104" s="225"/>
      <c r="B104" s="10"/>
      <c r="C104" s="10" t="s">
        <v>76</v>
      </c>
      <c r="D104" s="14"/>
      <c r="E104" s="62"/>
      <c r="F104" s="158"/>
      <c r="G104" s="302"/>
      <c r="H104" s="267"/>
      <c r="I104" s="490"/>
      <c r="J104" s="487"/>
      <c r="K104" s="487"/>
      <c r="L104" s="491"/>
      <c r="M104" s="487"/>
      <c r="N104" s="487"/>
      <c r="O104" s="487"/>
      <c r="P104" s="487"/>
      <c r="Q104" s="237"/>
      <c r="R104" s="237"/>
      <c r="S104" s="237"/>
      <c r="T104" s="237"/>
      <c r="U104" s="102"/>
      <c r="V104" s="102"/>
      <c r="W104" s="102"/>
      <c r="X104" s="102"/>
      <c r="Y104" s="102"/>
    </row>
    <row r="105" spans="1:25" ht="14.25" customHeight="1" x14ac:dyDescent="0.2">
      <c r="A105" s="225">
        <v>61</v>
      </c>
      <c r="B105" s="37"/>
      <c r="C105" s="10"/>
      <c r="D105" s="10" t="s">
        <v>117</v>
      </c>
      <c r="E105" s="19" t="s">
        <v>77</v>
      </c>
      <c r="F105" s="159" t="s">
        <v>107</v>
      </c>
      <c r="G105" s="303">
        <f>+I105*J105</f>
        <v>208333.125</v>
      </c>
      <c r="H105" s="268" t="s">
        <v>517</v>
      </c>
      <c r="I105" s="493">
        <f>SUM('KIPP Assumptions'!C86:C87)</f>
        <v>4.5</v>
      </c>
      <c r="J105" s="314">
        <f>+'Yr 1 Operating Statement of Act'!J105*(1+'Operating Statement of Act'!$M$79)</f>
        <v>46296.25</v>
      </c>
      <c r="K105" s="487"/>
      <c r="L105" s="491"/>
      <c r="M105" s="487"/>
      <c r="N105" s="487"/>
      <c r="O105" s="487"/>
      <c r="P105" s="487"/>
      <c r="Q105" s="237"/>
      <c r="R105" s="237"/>
      <c r="S105" s="237"/>
      <c r="T105" s="237"/>
      <c r="U105" s="102"/>
      <c r="V105" s="102"/>
      <c r="W105" s="102"/>
      <c r="X105" s="102"/>
      <c r="Y105" s="102"/>
    </row>
    <row r="106" spans="1:25" ht="14.25" customHeight="1" x14ac:dyDescent="0.2">
      <c r="A106" s="225">
        <v>62</v>
      </c>
      <c r="B106" s="37"/>
      <c r="C106" s="10"/>
      <c r="D106" s="10" t="s">
        <v>285</v>
      </c>
      <c r="E106" s="19" t="s">
        <v>108</v>
      </c>
      <c r="F106" s="159" t="s">
        <v>107</v>
      </c>
      <c r="G106" s="303">
        <f t="shared" ref="G106:G107" si="1">+I106*J106</f>
        <v>80891.250000000015</v>
      </c>
      <c r="H106" s="268" t="s">
        <v>517</v>
      </c>
      <c r="I106" s="493">
        <f>SUM('KIPP Assumptions'!C89:C90)</f>
        <v>1.5</v>
      </c>
      <c r="J106" s="314">
        <f>+'Yr 1 Operating Statement of Act'!J106*(1+'Operating Statement of Act'!$M$79)</f>
        <v>53927.500000000007</v>
      </c>
      <c r="K106" s="487"/>
      <c r="L106" s="491"/>
      <c r="M106" s="487"/>
      <c r="N106" s="487"/>
      <c r="O106" s="487"/>
      <c r="P106" s="487"/>
      <c r="Q106" s="237"/>
      <c r="R106" s="237"/>
      <c r="S106" s="237"/>
      <c r="T106" s="237"/>
      <c r="U106" s="102"/>
      <c r="V106" s="102"/>
      <c r="W106" s="102"/>
      <c r="X106" s="102"/>
      <c r="Y106" s="102"/>
    </row>
    <row r="107" spans="1:25" ht="14.25" customHeight="1" x14ac:dyDescent="0.2">
      <c r="A107" s="225">
        <v>63</v>
      </c>
      <c r="B107" s="37"/>
      <c r="C107" s="10"/>
      <c r="D107" s="10" t="s">
        <v>78</v>
      </c>
      <c r="E107" s="19" t="s">
        <v>79</v>
      </c>
      <c r="F107" s="159" t="s">
        <v>107</v>
      </c>
      <c r="G107" s="303">
        <f t="shared" si="1"/>
        <v>61050.000000000007</v>
      </c>
      <c r="H107" s="268" t="s">
        <v>517</v>
      </c>
      <c r="I107" s="490">
        <f>'KIPP Assumptions'!C88</f>
        <v>2</v>
      </c>
      <c r="J107" s="314">
        <f>+'Yr 1 Operating Statement of Act'!J107*(1+'Operating Statement of Act'!$M$79)</f>
        <v>30525.000000000004</v>
      </c>
      <c r="K107" s="487"/>
      <c r="L107" s="491"/>
      <c r="M107" s="487"/>
      <c r="N107" s="487"/>
      <c r="O107" s="487"/>
      <c r="P107" s="487"/>
      <c r="Q107" s="237"/>
      <c r="R107" s="237"/>
      <c r="S107" s="237"/>
      <c r="T107" s="237"/>
      <c r="U107" s="102"/>
      <c r="V107" s="102"/>
      <c r="W107" s="102"/>
      <c r="X107" s="102"/>
      <c r="Y107" s="102"/>
    </row>
    <row r="108" spans="1:25" ht="14.25" customHeight="1" x14ac:dyDescent="0.2">
      <c r="A108" s="225">
        <v>64</v>
      </c>
      <c r="B108" s="37"/>
      <c r="C108" s="10"/>
      <c r="D108" s="10" t="s">
        <v>81</v>
      </c>
      <c r="E108" s="19" t="s">
        <v>82</v>
      </c>
      <c r="F108" s="159" t="s">
        <v>107</v>
      </c>
      <c r="G108" s="303">
        <v>0</v>
      </c>
      <c r="H108" s="268" t="s">
        <v>517</v>
      </c>
      <c r="I108" s="490">
        <v>0</v>
      </c>
      <c r="J108" s="314"/>
      <c r="K108" s="487"/>
      <c r="L108" s="491"/>
      <c r="M108" s="487"/>
      <c r="N108" s="487"/>
      <c r="O108" s="487"/>
      <c r="P108" s="487"/>
      <c r="Q108" s="237"/>
      <c r="R108" s="237"/>
      <c r="S108" s="237"/>
      <c r="T108" s="237"/>
      <c r="U108" s="102"/>
      <c r="V108" s="102"/>
      <c r="W108" s="102"/>
      <c r="X108" s="102"/>
      <c r="Y108" s="102"/>
    </row>
    <row r="109" spans="1:25" x14ac:dyDescent="0.2">
      <c r="A109" s="225">
        <v>65</v>
      </c>
      <c r="B109" s="37"/>
      <c r="C109" s="10" t="s">
        <v>83</v>
      </c>
      <c r="D109" s="10"/>
      <c r="E109" s="19" t="s">
        <v>84</v>
      </c>
      <c r="F109" s="159" t="s">
        <v>107</v>
      </c>
      <c r="G109" s="303">
        <v>67167.329032258072</v>
      </c>
      <c r="H109" s="268" t="s">
        <v>444</v>
      </c>
      <c r="I109" s="490"/>
      <c r="J109" s="491"/>
      <c r="K109" s="487"/>
      <c r="L109" s="491"/>
      <c r="M109" s="487"/>
      <c r="N109" s="487"/>
      <c r="O109" s="487"/>
      <c r="P109" s="487"/>
      <c r="Q109" s="237"/>
      <c r="R109" s="237"/>
      <c r="S109" s="237"/>
      <c r="T109" s="237"/>
      <c r="U109" s="102"/>
      <c r="V109" s="102"/>
      <c r="W109" s="102"/>
      <c r="X109" s="102"/>
      <c r="Y109" s="102"/>
    </row>
    <row r="110" spans="1:25" ht="14.25" customHeight="1" x14ac:dyDescent="0.2">
      <c r="A110" s="225">
        <v>66</v>
      </c>
      <c r="B110" s="37"/>
      <c r="C110" s="10" t="s">
        <v>85</v>
      </c>
      <c r="D110" s="10"/>
      <c r="E110" s="19">
        <v>430</v>
      </c>
      <c r="F110" s="159">
        <v>1210</v>
      </c>
      <c r="G110" s="303"/>
      <c r="H110" s="268"/>
      <c r="I110" s="490"/>
      <c r="J110" s="487"/>
      <c r="K110" s="487"/>
      <c r="L110" s="491"/>
      <c r="M110" s="487"/>
      <c r="N110" s="487"/>
      <c r="O110" s="487"/>
      <c r="P110" s="487"/>
      <c r="Q110" s="237"/>
      <c r="R110" s="237"/>
      <c r="S110" s="237"/>
      <c r="T110" s="237"/>
      <c r="U110" s="102"/>
      <c r="V110" s="102"/>
      <c r="W110" s="102"/>
      <c r="X110" s="102"/>
      <c r="Y110" s="102"/>
    </row>
    <row r="111" spans="1:25" ht="14.25" customHeight="1" x14ac:dyDescent="0.2">
      <c r="A111" s="225">
        <v>67</v>
      </c>
      <c r="B111" s="37"/>
      <c r="C111" s="10" t="s">
        <v>87</v>
      </c>
      <c r="D111" s="10"/>
      <c r="E111" s="19" t="s">
        <v>88</v>
      </c>
      <c r="F111" s="159" t="s">
        <v>107</v>
      </c>
      <c r="G111" s="303"/>
      <c r="H111" s="268"/>
      <c r="I111" s="490"/>
      <c r="J111" s="487"/>
      <c r="K111" s="487"/>
      <c r="L111" s="491"/>
      <c r="M111" s="487"/>
      <c r="N111" s="487"/>
      <c r="O111" s="487"/>
      <c r="P111" s="487"/>
      <c r="Q111" s="237"/>
      <c r="R111" s="237"/>
      <c r="S111" s="237"/>
      <c r="T111" s="237"/>
      <c r="U111" s="102"/>
      <c r="V111" s="102"/>
      <c r="W111" s="102"/>
      <c r="X111" s="102"/>
      <c r="Y111" s="102"/>
    </row>
    <row r="112" spans="1:25" ht="14.25" customHeight="1" x14ac:dyDescent="0.2">
      <c r="A112" s="225"/>
      <c r="B112" s="37"/>
      <c r="C112" s="10" t="s">
        <v>109</v>
      </c>
      <c r="D112" s="10"/>
      <c r="E112" s="62"/>
      <c r="F112" s="158"/>
      <c r="G112" s="302"/>
      <c r="H112" s="267"/>
      <c r="I112" s="490"/>
      <c r="J112" s="487"/>
      <c r="K112" s="487"/>
      <c r="L112" s="491"/>
      <c r="M112" s="487"/>
      <c r="N112" s="487"/>
      <c r="O112" s="487"/>
      <c r="P112" s="487"/>
      <c r="Q112" s="237"/>
      <c r="R112" s="237"/>
      <c r="S112" s="237"/>
      <c r="T112" s="237"/>
      <c r="U112" s="102"/>
      <c r="V112" s="102"/>
      <c r="W112" s="102"/>
      <c r="X112" s="102"/>
      <c r="Y112" s="102"/>
    </row>
    <row r="113" spans="1:25" x14ac:dyDescent="0.2">
      <c r="A113" s="225">
        <v>68</v>
      </c>
      <c r="B113" s="37"/>
      <c r="C113" s="10"/>
      <c r="D113" s="10" t="s">
        <v>110</v>
      </c>
      <c r="E113" s="19" t="s">
        <v>90</v>
      </c>
      <c r="F113" s="159" t="s">
        <v>107</v>
      </c>
      <c r="G113" s="303">
        <v>11774.41935483871</v>
      </c>
      <c r="H113" s="268" t="s">
        <v>431</v>
      </c>
      <c r="I113" s="490"/>
      <c r="J113" s="491"/>
      <c r="K113" s="487"/>
      <c r="L113" s="491"/>
      <c r="M113" s="487"/>
      <c r="N113" s="487"/>
      <c r="O113" s="487"/>
      <c r="P113" s="487"/>
      <c r="Q113" s="237"/>
      <c r="R113" s="237"/>
      <c r="S113" s="237"/>
      <c r="T113" s="237"/>
      <c r="U113" s="102"/>
      <c r="V113" s="102"/>
      <c r="W113" s="102"/>
      <c r="X113" s="102"/>
      <c r="Y113" s="102"/>
    </row>
    <row r="114" spans="1:25" x14ac:dyDescent="0.2">
      <c r="A114" s="225">
        <v>69</v>
      </c>
      <c r="B114" s="37"/>
      <c r="C114" s="10"/>
      <c r="D114" s="10" t="s">
        <v>91</v>
      </c>
      <c r="E114" s="19" t="s">
        <v>92</v>
      </c>
      <c r="F114" s="159" t="s">
        <v>107</v>
      </c>
      <c r="G114" s="303">
        <v>0</v>
      </c>
      <c r="H114" s="268" t="s">
        <v>514</v>
      </c>
      <c r="I114" s="490"/>
      <c r="J114" s="491"/>
      <c r="K114" s="487"/>
      <c r="L114" s="491"/>
      <c r="M114" s="487"/>
      <c r="N114" s="487"/>
      <c r="O114" s="487"/>
      <c r="P114" s="487"/>
      <c r="Q114" s="237"/>
      <c r="R114" s="237"/>
      <c r="S114" s="237"/>
      <c r="T114" s="237"/>
      <c r="U114" s="102"/>
      <c r="V114" s="102"/>
      <c r="W114" s="102"/>
      <c r="X114" s="102"/>
      <c r="Y114" s="102"/>
    </row>
    <row r="115" spans="1:25" ht="14.25" customHeight="1" x14ac:dyDescent="0.2">
      <c r="A115" s="225">
        <v>70</v>
      </c>
      <c r="B115" s="37"/>
      <c r="C115" s="10" t="s">
        <v>93</v>
      </c>
      <c r="D115" s="10"/>
      <c r="E115" s="19" t="s">
        <v>94</v>
      </c>
      <c r="F115" s="159" t="s">
        <v>107</v>
      </c>
      <c r="G115" s="303"/>
      <c r="H115" s="268"/>
      <c r="I115" s="490"/>
      <c r="J115" s="487"/>
      <c r="K115" s="487"/>
      <c r="L115" s="491"/>
      <c r="M115" s="487"/>
      <c r="N115" s="487"/>
      <c r="O115" s="487"/>
      <c r="P115" s="487"/>
      <c r="Q115" s="237"/>
      <c r="R115" s="237"/>
      <c r="S115" s="237"/>
      <c r="T115" s="237"/>
      <c r="U115" s="102"/>
      <c r="V115" s="102"/>
      <c r="W115" s="102"/>
      <c r="X115" s="102"/>
      <c r="Y115" s="102"/>
    </row>
    <row r="116" spans="1:25" ht="14.25" customHeight="1" x14ac:dyDescent="0.2">
      <c r="A116" s="225">
        <v>71</v>
      </c>
      <c r="B116" s="37"/>
      <c r="C116" s="10" t="s">
        <v>95</v>
      </c>
      <c r="D116" s="10"/>
      <c r="E116" s="19" t="s">
        <v>96</v>
      </c>
      <c r="F116" s="159" t="s">
        <v>107</v>
      </c>
      <c r="G116" s="303"/>
      <c r="H116" s="268"/>
      <c r="I116" s="490"/>
      <c r="J116" s="487"/>
      <c r="K116" s="487"/>
      <c r="L116" s="491"/>
      <c r="M116" s="487"/>
      <c r="N116" s="487"/>
      <c r="O116" s="487"/>
      <c r="P116" s="487"/>
      <c r="Q116" s="237"/>
      <c r="R116" s="237"/>
      <c r="S116" s="237"/>
      <c r="T116" s="237"/>
      <c r="U116" s="102"/>
      <c r="V116" s="102"/>
      <c r="W116" s="102"/>
      <c r="X116" s="102"/>
      <c r="Y116" s="102"/>
    </row>
    <row r="117" spans="1:25" ht="14.25" customHeight="1" x14ac:dyDescent="0.2">
      <c r="A117" s="225">
        <v>72</v>
      </c>
      <c r="B117" s="37"/>
      <c r="C117" s="10" t="s">
        <v>295</v>
      </c>
      <c r="D117" s="10"/>
      <c r="E117" s="19" t="s">
        <v>97</v>
      </c>
      <c r="F117" s="159" t="s">
        <v>34</v>
      </c>
      <c r="G117" s="303">
        <f>+SUM(G$105:G$108)*$I117</f>
        <v>24790.085364003698</v>
      </c>
      <c r="H117" s="268"/>
      <c r="I117" s="492">
        <f>'KIPP Assumptions'!$B$105+'KIPP Assumptions'!$B$106+'KIPP Assumptions'!$B$107+'KIPP Assumptions'!$B$108+'KIPP Assumptions'!$B$109</f>
        <v>7.0773334087038758E-2</v>
      </c>
      <c r="J117" s="487"/>
      <c r="K117" s="487"/>
      <c r="L117" s="491"/>
      <c r="M117" s="487"/>
      <c r="N117" s="487"/>
      <c r="O117" s="487"/>
      <c r="P117" s="487"/>
      <c r="Q117" s="237"/>
      <c r="R117" s="237"/>
      <c r="S117" s="237"/>
      <c r="T117" s="237"/>
      <c r="U117" s="102"/>
      <c r="V117" s="102"/>
      <c r="W117" s="102"/>
      <c r="X117" s="102"/>
      <c r="Y117" s="102"/>
    </row>
    <row r="118" spans="1:25" ht="14.25" customHeight="1" x14ac:dyDescent="0.2">
      <c r="A118" s="225">
        <v>73</v>
      </c>
      <c r="B118" s="37"/>
      <c r="C118" s="10" t="s">
        <v>98</v>
      </c>
      <c r="D118" s="10"/>
      <c r="E118" s="19" t="s">
        <v>99</v>
      </c>
      <c r="F118" s="159" t="s">
        <v>34</v>
      </c>
      <c r="G118" s="303">
        <f t="shared" ref="G118:G121" si="2">+SUM(G$105:G$108)*$I118</f>
        <v>21717.01125</v>
      </c>
      <c r="H118" s="268"/>
      <c r="I118" s="492">
        <f>'KIPP Assumptions'!$B$111</f>
        <v>6.2E-2</v>
      </c>
      <c r="J118" s="487"/>
      <c r="K118" s="487"/>
      <c r="L118" s="491"/>
      <c r="M118" s="487"/>
      <c r="N118" s="487"/>
      <c r="O118" s="487"/>
      <c r="P118" s="487"/>
      <c r="Q118" s="237"/>
      <c r="R118" s="237"/>
      <c r="S118" s="237"/>
      <c r="T118" s="237"/>
      <c r="U118" s="102"/>
      <c r="V118" s="102"/>
      <c r="W118" s="102"/>
      <c r="X118" s="102"/>
      <c r="Y118" s="102"/>
    </row>
    <row r="119" spans="1:25" ht="14.25" customHeight="1" x14ac:dyDescent="0.2">
      <c r="A119" s="225">
        <v>74</v>
      </c>
      <c r="B119" s="37"/>
      <c r="C119" s="10" t="s">
        <v>100</v>
      </c>
      <c r="D119" s="10"/>
      <c r="E119" s="19" t="s">
        <v>101</v>
      </c>
      <c r="F119" s="159" t="s">
        <v>34</v>
      </c>
      <c r="G119" s="303">
        <f t="shared" si="2"/>
        <v>5078.9784374999999</v>
      </c>
      <c r="H119" s="268"/>
      <c r="I119" s="492">
        <f>'KIPP Assumptions'!$B$110</f>
        <v>1.4500000000000001E-2</v>
      </c>
      <c r="J119" s="487"/>
      <c r="K119" s="487"/>
      <c r="L119" s="491"/>
      <c r="M119" s="487"/>
      <c r="N119" s="487"/>
      <c r="O119" s="487"/>
      <c r="P119" s="487"/>
      <c r="Q119" s="237"/>
      <c r="R119" s="237"/>
      <c r="S119" s="237"/>
      <c r="T119" s="237"/>
      <c r="U119" s="102"/>
      <c r="V119" s="102"/>
      <c r="W119" s="102"/>
      <c r="X119" s="102"/>
      <c r="Y119" s="102"/>
    </row>
    <row r="120" spans="1:25" ht="14.25" customHeight="1" x14ac:dyDescent="0.2">
      <c r="A120" s="225">
        <v>75</v>
      </c>
      <c r="B120" s="37"/>
      <c r="C120" s="10" t="s">
        <v>219</v>
      </c>
      <c r="D120" s="10"/>
      <c r="E120" s="19" t="s">
        <v>220</v>
      </c>
      <c r="F120" s="159">
        <v>1200</v>
      </c>
      <c r="G120" s="303">
        <f t="shared" si="2"/>
        <v>11253.995805621997</v>
      </c>
      <c r="H120" s="268"/>
      <c r="I120" s="492">
        <f>+'KIPP Assumptions'!$B$113</f>
        <v>3.21290868212155E-2</v>
      </c>
      <c r="J120" s="487"/>
      <c r="K120" s="487"/>
      <c r="L120" s="491"/>
      <c r="M120" s="487"/>
      <c r="N120" s="487"/>
      <c r="O120" s="487"/>
      <c r="P120" s="487"/>
      <c r="Q120" s="237"/>
      <c r="R120" s="237"/>
      <c r="S120" s="237"/>
      <c r="T120" s="237"/>
      <c r="U120" s="102"/>
      <c r="V120" s="102"/>
      <c r="W120" s="102"/>
      <c r="X120" s="102"/>
      <c r="Y120" s="102"/>
    </row>
    <row r="121" spans="1:25" ht="14.25" customHeight="1" x14ac:dyDescent="0.2">
      <c r="A121" s="225">
        <v>76</v>
      </c>
      <c r="B121" s="37"/>
      <c r="C121" s="10" t="s">
        <v>102</v>
      </c>
      <c r="D121" s="10"/>
      <c r="E121" s="19" t="s">
        <v>103</v>
      </c>
      <c r="F121" s="159" t="s">
        <v>34</v>
      </c>
      <c r="G121" s="303">
        <f t="shared" si="2"/>
        <v>350.27437500000002</v>
      </c>
      <c r="H121" s="268"/>
      <c r="I121" s="492">
        <f>+'KIPP Assumptions'!$B$112</f>
        <v>1E-3</v>
      </c>
      <c r="J121" s="487"/>
      <c r="K121" s="487"/>
      <c r="L121" s="491"/>
      <c r="M121" s="487"/>
      <c r="N121" s="487"/>
      <c r="O121" s="487"/>
      <c r="P121" s="487"/>
      <c r="Q121" s="237"/>
      <c r="R121" s="237"/>
      <c r="S121" s="237"/>
      <c r="T121" s="237"/>
      <c r="U121" s="102"/>
      <c r="V121" s="102"/>
      <c r="W121" s="102"/>
      <c r="X121" s="102"/>
      <c r="Y121" s="102"/>
    </row>
    <row r="122" spans="1:25" ht="14.25" customHeight="1" x14ac:dyDescent="0.2">
      <c r="A122" s="225">
        <v>77</v>
      </c>
      <c r="B122" s="37"/>
      <c r="C122" s="10" t="s">
        <v>104</v>
      </c>
      <c r="D122" s="10"/>
      <c r="E122" s="19" t="s">
        <v>105</v>
      </c>
      <c r="F122" s="159" t="s">
        <v>34</v>
      </c>
      <c r="G122" s="303"/>
      <c r="H122" s="268"/>
      <c r="I122" s="490"/>
      <c r="J122" s="487"/>
      <c r="K122" s="487"/>
      <c r="L122" s="491"/>
      <c r="M122" s="487"/>
      <c r="N122" s="487"/>
      <c r="O122" s="487"/>
      <c r="P122" s="487"/>
      <c r="Q122" s="237"/>
      <c r="R122" s="237"/>
      <c r="S122" s="237"/>
      <c r="T122" s="237"/>
      <c r="U122" s="102"/>
      <c r="V122" s="102"/>
      <c r="W122" s="102"/>
      <c r="X122" s="102"/>
      <c r="Y122" s="102"/>
    </row>
    <row r="123" spans="1:25" ht="14.25" customHeight="1" x14ac:dyDescent="0.2">
      <c r="A123" s="225">
        <v>78</v>
      </c>
      <c r="B123" s="37"/>
      <c r="C123" s="86" t="s">
        <v>283</v>
      </c>
      <c r="D123" s="10"/>
      <c r="E123" s="19"/>
      <c r="F123" s="159"/>
      <c r="G123" s="303"/>
      <c r="H123" s="268"/>
      <c r="I123" s="490"/>
      <c r="J123" s="487"/>
      <c r="K123" s="487"/>
      <c r="L123" s="491"/>
      <c r="M123" s="487"/>
      <c r="N123" s="487"/>
      <c r="O123" s="487"/>
      <c r="P123" s="487"/>
      <c r="Q123" s="237"/>
      <c r="R123" s="237"/>
      <c r="S123" s="237"/>
      <c r="T123" s="237"/>
      <c r="U123" s="102"/>
      <c r="V123" s="102"/>
      <c r="W123" s="102"/>
      <c r="X123" s="102"/>
      <c r="Y123" s="102"/>
    </row>
    <row r="124" spans="1:25" ht="14.25" customHeight="1" x14ac:dyDescent="0.2">
      <c r="A124" s="225">
        <v>79</v>
      </c>
      <c r="B124" s="37"/>
      <c r="C124" s="86"/>
      <c r="D124" s="10"/>
      <c r="E124" s="19"/>
      <c r="F124" s="159"/>
      <c r="G124" s="303"/>
      <c r="H124" s="268"/>
      <c r="I124" s="490"/>
      <c r="J124" s="487"/>
      <c r="K124" s="487"/>
      <c r="L124" s="491"/>
      <c r="M124" s="487"/>
      <c r="N124" s="487"/>
      <c r="O124" s="487"/>
      <c r="P124" s="487"/>
      <c r="Q124" s="237"/>
      <c r="R124" s="237"/>
      <c r="S124" s="237"/>
      <c r="T124" s="237"/>
      <c r="U124" s="102"/>
      <c r="V124" s="102"/>
      <c r="W124" s="102"/>
      <c r="X124" s="102"/>
      <c r="Y124" s="102"/>
    </row>
    <row r="125" spans="1:25" ht="14.25" customHeight="1" x14ac:dyDescent="0.2">
      <c r="A125" s="225">
        <v>80</v>
      </c>
      <c r="B125" s="37"/>
      <c r="C125" s="86"/>
      <c r="D125" s="10"/>
      <c r="E125" s="19"/>
      <c r="F125" s="159"/>
      <c r="G125" s="303"/>
      <c r="H125" s="268"/>
      <c r="I125" s="490"/>
      <c r="J125" s="487"/>
      <c r="K125" s="487"/>
      <c r="L125" s="491"/>
      <c r="M125" s="487"/>
      <c r="N125" s="487"/>
      <c r="O125" s="487"/>
      <c r="P125" s="487"/>
      <c r="Q125" s="237"/>
      <c r="R125" s="237"/>
      <c r="S125" s="237"/>
      <c r="T125" s="237"/>
      <c r="U125" s="102"/>
      <c r="V125" s="102"/>
      <c r="W125" s="102"/>
      <c r="X125" s="102"/>
      <c r="Y125" s="102"/>
    </row>
    <row r="126" spans="1:25" ht="14.25" customHeight="1" x14ac:dyDescent="0.2">
      <c r="A126" s="225">
        <v>81</v>
      </c>
      <c r="D126" s="14"/>
      <c r="E126" s="15"/>
      <c r="F126" s="167"/>
      <c r="G126" s="315"/>
      <c r="H126" s="283"/>
      <c r="I126" s="490"/>
      <c r="J126" s="487"/>
      <c r="K126" s="487"/>
      <c r="L126" s="491"/>
      <c r="M126" s="487"/>
      <c r="N126" s="487"/>
      <c r="O126" s="487"/>
      <c r="P126" s="487"/>
      <c r="Q126" s="237"/>
      <c r="R126" s="237"/>
      <c r="S126" s="237"/>
      <c r="T126" s="237"/>
      <c r="U126" s="102"/>
      <c r="V126" s="102"/>
      <c r="W126" s="102"/>
      <c r="X126" s="102"/>
      <c r="Y126" s="102"/>
    </row>
    <row r="127" spans="1:25" ht="15" customHeight="1" x14ac:dyDescent="0.25">
      <c r="A127" s="226">
        <v>82</v>
      </c>
      <c r="B127" s="88" t="s">
        <v>7</v>
      </c>
      <c r="C127" s="52"/>
      <c r="D127" s="52"/>
      <c r="E127" s="50"/>
      <c r="F127" s="163"/>
      <c r="G127" s="306">
        <f>SUM(G104:G126)</f>
        <v>492406.46861922252</v>
      </c>
      <c r="H127" s="271"/>
      <c r="I127" s="490"/>
      <c r="J127" s="487"/>
      <c r="K127" s="487"/>
      <c r="L127" s="491"/>
      <c r="M127" s="487"/>
      <c r="N127" s="487"/>
      <c r="O127" s="487"/>
      <c r="P127" s="487"/>
      <c r="Q127" s="237"/>
      <c r="R127" s="237"/>
      <c r="S127" s="237"/>
      <c r="T127" s="237"/>
      <c r="U127" s="102"/>
      <c r="V127" s="102"/>
      <c r="W127" s="102"/>
      <c r="X127" s="102"/>
      <c r="Y127" s="102"/>
    </row>
    <row r="128" spans="1:25" ht="14.25" customHeight="1" x14ac:dyDescent="0.2">
      <c r="A128" s="225"/>
      <c r="D128" s="14"/>
      <c r="E128" s="15"/>
      <c r="F128" s="167"/>
      <c r="G128" s="315"/>
      <c r="H128" s="283"/>
      <c r="I128" s="490"/>
      <c r="J128" s="487"/>
      <c r="K128" s="487"/>
      <c r="L128" s="491"/>
      <c r="M128" s="487"/>
      <c r="N128" s="487"/>
      <c r="O128" s="487"/>
      <c r="P128" s="487"/>
      <c r="Q128" s="237"/>
      <c r="R128" s="237"/>
      <c r="S128" s="237"/>
      <c r="T128" s="237"/>
      <c r="U128" s="102"/>
      <c r="V128" s="102"/>
      <c r="W128" s="102"/>
      <c r="X128" s="102"/>
      <c r="Y128" s="102"/>
    </row>
    <row r="129" spans="1:25" ht="14.25" customHeight="1" x14ac:dyDescent="0.2">
      <c r="A129" s="223"/>
      <c r="B129" s="112" t="s">
        <v>276</v>
      </c>
      <c r="C129" s="113"/>
      <c r="D129" s="114"/>
      <c r="E129" s="62"/>
      <c r="F129" s="158"/>
      <c r="G129" s="302"/>
      <c r="H129" s="267"/>
      <c r="I129" s="490"/>
      <c r="J129" s="487"/>
      <c r="K129" s="487"/>
      <c r="L129" s="491"/>
      <c r="M129" s="487"/>
      <c r="N129" s="487"/>
      <c r="O129" s="487"/>
      <c r="P129" s="487"/>
      <c r="Q129" s="237"/>
      <c r="R129" s="237"/>
      <c r="S129" s="237"/>
      <c r="T129" s="237"/>
      <c r="U129" s="102"/>
      <c r="V129" s="102"/>
      <c r="W129" s="102"/>
      <c r="X129" s="102"/>
      <c r="Y129" s="102"/>
    </row>
    <row r="130" spans="1:25" s="5" customFormat="1" ht="14.25" customHeight="1" x14ac:dyDescent="0.25">
      <c r="A130" s="228"/>
      <c r="B130" s="90" t="s">
        <v>275</v>
      </c>
      <c r="C130" s="111"/>
      <c r="D130" s="111"/>
      <c r="E130" s="78"/>
      <c r="F130" s="170"/>
      <c r="G130" s="318"/>
      <c r="H130" s="286"/>
      <c r="I130" s="490"/>
      <c r="J130" s="489"/>
      <c r="K130" s="489"/>
      <c r="L130" s="491"/>
      <c r="M130" s="489"/>
      <c r="N130" s="489"/>
      <c r="O130" s="489"/>
      <c r="P130" s="489"/>
      <c r="Q130" s="244"/>
      <c r="R130" s="244"/>
      <c r="S130" s="244"/>
      <c r="T130" s="244"/>
      <c r="U130" s="240"/>
      <c r="V130" s="240"/>
      <c r="W130" s="240"/>
      <c r="X130" s="240"/>
      <c r="Y130" s="240"/>
    </row>
    <row r="131" spans="1:25" s="5" customFormat="1" ht="13.5" customHeight="1" x14ac:dyDescent="0.25">
      <c r="A131" s="225"/>
      <c r="B131" s="80"/>
      <c r="C131" s="10" t="s">
        <v>76</v>
      </c>
      <c r="D131" s="21"/>
      <c r="E131" s="62"/>
      <c r="F131" s="158"/>
      <c r="G131" s="302"/>
      <c r="H131" s="267"/>
      <c r="I131" s="490"/>
      <c r="J131" s="489"/>
      <c r="K131" s="489"/>
      <c r="L131" s="491"/>
      <c r="M131" s="489"/>
      <c r="N131" s="489"/>
      <c r="O131" s="489"/>
      <c r="P131" s="489"/>
      <c r="Q131" s="244"/>
      <c r="R131" s="244"/>
      <c r="S131" s="244"/>
      <c r="T131" s="244"/>
      <c r="U131" s="240"/>
      <c r="V131" s="240"/>
      <c r="W131" s="240"/>
      <c r="X131" s="240"/>
      <c r="Y131" s="240"/>
    </row>
    <row r="132" spans="1:25" ht="14.25" customHeight="1" x14ac:dyDescent="0.2">
      <c r="A132" s="225">
        <v>83</v>
      </c>
      <c r="B132" s="37"/>
      <c r="C132" s="10"/>
      <c r="D132" s="10" t="s">
        <v>117</v>
      </c>
      <c r="E132" s="19">
        <v>112</v>
      </c>
      <c r="F132" s="159" t="s">
        <v>221</v>
      </c>
      <c r="G132" s="303">
        <f>+I132*J132</f>
        <v>102767.5</v>
      </c>
      <c r="H132" s="268" t="s">
        <v>517</v>
      </c>
      <c r="I132" s="490">
        <f>'KIPP Assumptions'!C85</f>
        <v>2</v>
      </c>
      <c r="J132" s="314">
        <f>+'Yr 1 Operating Statement of Act'!J132*(1+'Operating Statement of Act'!$M$79)</f>
        <v>51383.75</v>
      </c>
      <c r="K132" s="487"/>
      <c r="L132" s="491"/>
      <c r="M132" s="487"/>
      <c r="N132" s="487"/>
      <c r="O132" s="487"/>
      <c r="P132" s="487"/>
      <c r="Q132" s="237"/>
      <c r="R132" s="237"/>
      <c r="S132" s="237"/>
      <c r="T132" s="237"/>
      <c r="U132" s="102"/>
      <c r="V132" s="102"/>
      <c r="W132" s="102"/>
      <c r="X132" s="102"/>
      <c r="Y132" s="102"/>
    </row>
    <row r="133" spans="1:25" ht="14.25" customHeight="1" x14ac:dyDescent="0.2">
      <c r="A133" s="225">
        <v>84</v>
      </c>
      <c r="B133" s="37"/>
      <c r="C133" s="10"/>
      <c r="D133" s="10" t="s">
        <v>78</v>
      </c>
      <c r="E133" s="19">
        <v>115</v>
      </c>
      <c r="F133" s="159" t="s">
        <v>221</v>
      </c>
      <c r="G133" s="303"/>
      <c r="H133" s="268"/>
      <c r="I133" s="490"/>
      <c r="J133" s="487"/>
      <c r="K133" s="487"/>
      <c r="L133" s="491"/>
      <c r="M133" s="487"/>
      <c r="N133" s="487"/>
      <c r="O133" s="487"/>
      <c r="P133" s="487"/>
      <c r="Q133" s="237"/>
      <c r="R133" s="237"/>
      <c r="S133" s="237"/>
      <c r="T133" s="237"/>
      <c r="U133" s="102"/>
      <c r="V133" s="102"/>
      <c r="W133" s="102"/>
      <c r="X133" s="102"/>
      <c r="Y133" s="102"/>
    </row>
    <row r="134" spans="1:25" ht="14.25" customHeight="1" x14ac:dyDescent="0.2">
      <c r="A134" s="225">
        <v>85</v>
      </c>
      <c r="B134" s="37"/>
      <c r="C134" s="10"/>
      <c r="D134" s="10" t="s">
        <v>81</v>
      </c>
      <c r="E134" s="19">
        <v>123</v>
      </c>
      <c r="F134" s="159" t="s">
        <v>221</v>
      </c>
      <c r="G134" s="303"/>
      <c r="H134" s="268"/>
      <c r="I134" s="490"/>
      <c r="J134" s="487"/>
      <c r="K134" s="487"/>
      <c r="L134" s="491"/>
      <c r="M134" s="487"/>
      <c r="N134" s="487"/>
      <c r="O134" s="487"/>
      <c r="P134" s="487"/>
      <c r="Q134" s="237"/>
      <c r="R134" s="237"/>
      <c r="S134" s="237"/>
      <c r="T134" s="237"/>
      <c r="U134" s="102"/>
      <c r="V134" s="102"/>
      <c r="W134" s="102"/>
      <c r="X134" s="102"/>
      <c r="Y134" s="102"/>
    </row>
    <row r="135" spans="1:25" x14ac:dyDescent="0.2">
      <c r="A135" s="225">
        <v>86</v>
      </c>
      <c r="B135" s="37"/>
      <c r="C135" s="10" t="s">
        <v>83</v>
      </c>
      <c r="D135" s="10"/>
      <c r="E135" s="19" t="s">
        <v>84</v>
      </c>
      <c r="F135" s="159" t="s">
        <v>221</v>
      </c>
      <c r="G135" s="303">
        <v>0</v>
      </c>
      <c r="H135" s="268" t="s">
        <v>445</v>
      </c>
      <c r="I135" s="490"/>
      <c r="J135" s="491"/>
      <c r="K135" s="487"/>
      <c r="L135" s="491"/>
      <c r="M135" s="487"/>
      <c r="N135" s="487"/>
      <c r="O135" s="487"/>
      <c r="P135" s="487"/>
      <c r="Q135" s="237"/>
      <c r="R135" s="237"/>
      <c r="S135" s="237"/>
      <c r="T135" s="237"/>
      <c r="U135" s="102"/>
      <c r="V135" s="102"/>
      <c r="W135" s="102"/>
      <c r="X135" s="102"/>
      <c r="Y135" s="102"/>
    </row>
    <row r="136" spans="1:25" ht="14.25" customHeight="1" x14ac:dyDescent="0.2">
      <c r="A136" s="225">
        <v>87</v>
      </c>
      <c r="B136" s="37"/>
      <c r="C136" s="10" t="s">
        <v>85</v>
      </c>
      <c r="D136" s="10"/>
      <c r="E136" s="19">
        <v>430</v>
      </c>
      <c r="F136" s="159" t="s">
        <v>221</v>
      </c>
      <c r="G136" s="303"/>
      <c r="H136" s="268"/>
      <c r="I136" s="490"/>
      <c r="J136" s="487"/>
      <c r="K136" s="487"/>
      <c r="L136" s="491"/>
      <c r="M136" s="487"/>
      <c r="N136" s="487"/>
      <c r="O136" s="487"/>
      <c r="P136" s="487"/>
      <c r="Q136" s="237"/>
      <c r="R136" s="237"/>
      <c r="S136" s="237"/>
      <c r="T136" s="237"/>
      <c r="U136" s="102"/>
      <c r="V136" s="102"/>
      <c r="W136" s="102"/>
      <c r="X136" s="102"/>
      <c r="Y136" s="102"/>
    </row>
    <row r="137" spans="1:25" ht="14.25" customHeight="1" x14ac:dyDescent="0.2">
      <c r="A137" s="225">
        <v>88</v>
      </c>
      <c r="B137" s="37"/>
      <c r="C137" s="10" t="s">
        <v>87</v>
      </c>
      <c r="D137" s="10"/>
      <c r="E137" s="19" t="s">
        <v>88</v>
      </c>
      <c r="F137" s="159" t="s">
        <v>221</v>
      </c>
      <c r="G137" s="303"/>
      <c r="H137" s="268"/>
      <c r="I137" s="490"/>
      <c r="J137" s="487"/>
      <c r="K137" s="487"/>
      <c r="L137" s="491"/>
      <c r="M137" s="487"/>
      <c r="N137" s="487"/>
      <c r="O137" s="487"/>
      <c r="P137" s="487"/>
      <c r="Q137" s="237"/>
      <c r="R137" s="237"/>
      <c r="S137" s="237"/>
      <c r="T137" s="237"/>
      <c r="U137" s="102"/>
      <c r="V137" s="102"/>
      <c r="W137" s="102"/>
      <c r="X137" s="102"/>
      <c r="Y137" s="102"/>
    </row>
    <row r="138" spans="1:25" ht="14.25" customHeight="1" x14ac:dyDescent="0.2">
      <c r="A138" s="225"/>
      <c r="B138" s="37"/>
      <c r="C138" s="10" t="s">
        <v>109</v>
      </c>
      <c r="D138" s="10"/>
      <c r="E138" s="62"/>
      <c r="F138" s="158"/>
      <c r="G138" s="302"/>
      <c r="H138" s="267"/>
      <c r="I138" s="490"/>
      <c r="J138" s="487"/>
      <c r="K138" s="487"/>
      <c r="L138" s="491"/>
      <c r="M138" s="487"/>
      <c r="N138" s="487"/>
      <c r="O138" s="487"/>
      <c r="P138" s="487"/>
      <c r="Q138" s="237"/>
      <c r="R138" s="237"/>
      <c r="S138" s="237"/>
      <c r="T138" s="237"/>
      <c r="U138" s="102"/>
      <c r="V138" s="102"/>
      <c r="W138" s="102"/>
      <c r="X138" s="102"/>
      <c r="Y138" s="102"/>
    </row>
    <row r="139" spans="1:25" x14ac:dyDescent="0.2">
      <c r="A139" s="225">
        <v>89</v>
      </c>
      <c r="B139" s="37"/>
      <c r="C139" s="10"/>
      <c r="D139" s="10" t="s">
        <v>110</v>
      </c>
      <c r="E139" s="19" t="s">
        <v>90</v>
      </c>
      <c r="F139" s="159" t="s">
        <v>221</v>
      </c>
      <c r="G139" s="303">
        <v>49458.154838709677</v>
      </c>
      <c r="H139" s="268" t="s">
        <v>432</v>
      </c>
      <c r="I139" s="490"/>
      <c r="J139" s="491"/>
      <c r="K139" s="487"/>
      <c r="L139" s="491"/>
      <c r="M139" s="487"/>
      <c r="N139" s="487"/>
      <c r="O139" s="487"/>
      <c r="P139" s="487"/>
      <c r="Q139" s="237"/>
      <c r="R139" s="237"/>
      <c r="S139" s="237"/>
      <c r="T139" s="237"/>
      <c r="U139" s="102"/>
      <c r="V139" s="102"/>
      <c r="W139" s="102"/>
      <c r="X139" s="102"/>
      <c r="Y139" s="102"/>
    </row>
    <row r="140" spans="1:25" x14ac:dyDescent="0.2">
      <c r="A140" s="225">
        <v>90</v>
      </c>
      <c r="B140" s="37"/>
      <c r="C140" s="10"/>
      <c r="D140" s="10" t="s">
        <v>91</v>
      </c>
      <c r="E140" s="19" t="s">
        <v>92</v>
      </c>
      <c r="F140" s="159" t="s">
        <v>221</v>
      </c>
      <c r="G140" s="303">
        <v>3289.0064516129032</v>
      </c>
      <c r="H140" s="268" t="s">
        <v>469</v>
      </c>
      <c r="I140" s="490"/>
      <c r="J140" s="491"/>
      <c r="K140" s="487"/>
      <c r="L140" s="491"/>
      <c r="M140" s="487"/>
      <c r="N140" s="487"/>
      <c r="O140" s="487"/>
      <c r="P140" s="487"/>
      <c r="Q140" s="237"/>
      <c r="R140" s="237"/>
      <c r="S140" s="237"/>
      <c r="T140" s="237"/>
      <c r="U140" s="102"/>
      <c r="V140" s="102"/>
      <c r="W140" s="102"/>
      <c r="X140" s="102"/>
      <c r="Y140" s="102"/>
    </row>
    <row r="141" spans="1:25" ht="14.25" customHeight="1" x14ac:dyDescent="0.2">
      <c r="A141" s="225">
        <v>91</v>
      </c>
      <c r="B141" s="37"/>
      <c r="C141" s="10" t="s">
        <v>242</v>
      </c>
      <c r="D141" s="10"/>
      <c r="E141" s="19" t="s">
        <v>243</v>
      </c>
      <c r="F141" s="159" t="s">
        <v>221</v>
      </c>
      <c r="G141" s="303"/>
      <c r="H141" s="268"/>
      <c r="I141" s="490"/>
      <c r="J141" s="487"/>
      <c r="K141" s="487"/>
      <c r="L141" s="491"/>
      <c r="M141" s="487"/>
      <c r="N141" s="487"/>
      <c r="O141" s="487"/>
      <c r="P141" s="487"/>
      <c r="Q141" s="237"/>
      <c r="R141" s="237"/>
      <c r="S141" s="237"/>
      <c r="T141" s="237"/>
      <c r="U141" s="102"/>
      <c r="V141" s="102"/>
      <c r="W141" s="102"/>
      <c r="X141" s="102"/>
      <c r="Y141" s="102"/>
    </row>
    <row r="142" spans="1:25" x14ac:dyDescent="0.2">
      <c r="A142" s="225">
        <v>92</v>
      </c>
      <c r="B142" s="37"/>
      <c r="C142" s="10" t="s">
        <v>95</v>
      </c>
      <c r="D142" s="10"/>
      <c r="E142" s="19" t="s">
        <v>96</v>
      </c>
      <c r="F142" s="159" t="s">
        <v>221</v>
      </c>
      <c r="G142" s="303">
        <v>1678.0645161290322</v>
      </c>
      <c r="H142" s="268" t="s">
        <v>436</v>
      </c>
      <c r="I142" s="490"/>
      <c r="J142" s="491"/>
      <c r="K142" s="487"/>
      <c r="L142" s="491"/>
      <c r="M142" s="487"/>
      <c r="N142" s="487"/>
      <c r="O142" s="487"/>
      <c r="P142" s="487"/>
      <c r="Q142" s="237"/>
      <c r="R142" s="237"/>
      <c r="S142" s="237"/>
      <c r="T142" s="237"/>
      <c r="U142" s="102"/>
      <c r="V142" s="102"/>
      <c r="W142" s="102"/>
      <c r="X142" s="102"/>
      <c r="Y142" s="102"/>
    </row>
    <row r="143" spans="1:25" ht="14.25" customHeight="1" x14ac:dyDescent="0.2">
      <c r="A143" s="225">
        <v>93</v>
      </c>
      <c r="B143" s="37"/>
      <c r="C143" s="10" t="s">
        <v>295</v>
      </c>
      <c r="D143" s="10"/>
      <c r="E143" s="19" t="s">
        <v>97</v>
      </c>
      <c r="F143" s="159" t="s">
        <v>221</v>
      </c>
      <c r="G143" s="303">
        <f>+SUM(G$132:G$134)*$I143</f>
        <v>7273.1986107897555</v>
      </c>
      <c r="H143" s="268"/>
      <c r="I143" s="492">
        <f>'KIPP Assumptions'!$B$105+'KIPP Assumptions'!$B$106+'KIPP Assumptions'!$B$107+'KIPP Assumptions'!$B$108+'KIPP Assumptions'!$B$109</f>
        <v>7.0773334087038758E-2</v>
      </c>
      <c r="J143" s="487"/>
      <c r="K143" s="487"/>
      <c r="L143" s="491"/>
      <c r="M143" s="487"/>
      <c r="N143" s="487"/>
      <c r="O143" s="487"/>
      <c r="P143" s="487"/>
      <c r="Q143" s="237"/>
      <c r="R143" s="237"/>
      <c r="S143" s="237"/>
      <c r="T143" s="237"/>
      <c r="U143" s="102"/>
      <c r="V143" s="102"/>
      <c r="W143" s="102"/>
      <c r="X143" s="102"/>
      <c r="Y143" s="102"/>
    </row>
    <row r="144" spans="1:25" ht="14.25" customHeight="1" x14ac:dyDescent="0.2">
      <c r="A144" s="225">
        <v>94</v>
      </c>
      <c r="B144" s="37"/>
      <c r="C144" s="10" t="s">
        <v>98</v>
      </c>
      <c r="D144" s="10"/>
      <c r="E144" s="19" t="s">
        <v>99</v>
      </c>
      <c r="F144" s="159" t="s">
        <v>221</v>
      </c>
      <c r="G144" s="303">
        <f t="shared" ref="G144:G147" si="3">+SUM(G$132:G$134)*$I144</f>
        <v>6371.585</v>
      </c>
      <c r="H144" s="268"/>
      <c r="I144" s="492">
        <f>'KIPP Assumptions'!$B$111</f>
        <v>6.2E-2</v>
      </c>
      <c r="J144" s="487"/>
      <c r="K144" s="487"/>
      <c r="L144" s="491"/>
      <c r="M144" s="487"/>
      <c r="N144" s="487"/>
      <c r="O144" s="487"/>
      <c r="P144" s="487"/>
      <c r="Q144" s="237"/>
      <c r="R144" s="237"/>
      <c r="S144" s="237"/>
      <c r="T144" s="237"/>
      <c r="U144" s="102"/>
      <c r="V144" s="102"/>
      <c r="W144" s="102"/>
      <c r="X144" s="102"/>
      <c r="Y144" s="102"/>
    </row>
    <row r="145" spans="1:25" ht="14.25" customHeight="1" x14ac:dyDescent="0.2">
      <c r="A145" s="225">
        <v>95</v>
      </c>
      <c r="B145" s="37"/>
      <c r="C145" s="10" t="s">
        <v>100</v>
      </c>
      <c r="D145" s="10"/>
      <c r="E145" s="19" t="s">
        <v>101</v>
      </c>
      <c r="F145" s="159" t="s">
        <v>221</v>
      </c>
      <c r="G145" s="303">
        <f t="shared" si="3"/>
        <v>1490.1287500000001</v>
      </c>
      <c r="H145" s="268"/>
      <c r="I145" s="492">
        <f>'KIPP Assumptions'!$B$110</f>
        <v>1.4500000000000001E-2</v>
      </c>
      <c r="J145" s="487"/>
      <c r="K145" s="487"/>
      <c r="L145" s="491"/>
      <c r="M145" s="487"/>
      <c r="N145" s="487"/>
      <c r="O145" s="487"/>
      <c r="P145" s="487"/>
      <c r="Q145" s="237"/>
      <c r="R145" s="237"/>
      <c r="S145" s="237"/>
      <c r="T145" s="237"/>
      <c r="U145" s="102"/>
      <c r="V145" s="102"/>
      <c r="W145" s="102"/>
      <c r="X145" s="102"/>
      <c r="Y145" s="102"/>
    </row>
    <row r="146" spans="1:25" ht="14.25" customHeight="1" x14ac:dyDescent="0.2">
      <c r="A146" s="225">
        <v>96</v>
      </c>
      <c r="B146" s="37"/>
      <c r="C146" s="10" t="s">
        <v>219</v>
      </c>
      <c r="D146" s="10"/>
      <c r="E146" s="19" t="s">
        <v>220</v>
      </c>
      <c r="F146" s="159" t="s">
        <v>221</v>
      </c>
      <c r="G146" s="303">
        <f t="shared" si="3"/>
        <v>3301.8259298992639</v>
      </c>
      <c r="H146" s="268"/>
      <c r="I146" s="492">
        <f>+'KIPP Assumptions'!$B$113</f>
        <v>3.21290868212155E-2</v>
      </c>
      <c r="J146" s="487"/>
      <c r="K146" s="487"/>
      <c r="L146" s="491"/>
      <c r="M146" s="487"/>
      <c r="N146" s="487"/>
      <c r="O146" s="487"/>
      <c r="P146" s="487"/>
      <c r="Q146" s="237"/>
      <c r="R146" s="237"/>
      <c r="S146" s="237"/>
      <c r="T146" s="237"/>
      <c r="U146" s="102"/>
      <c r="V146" s="102"/>
      <c r="W146" s="102"/>
      <c r="X146" s="102"/>
      <c r="Y146" s="102"/>
    </row>
    <row r="147" spans="1:25" ht="14.25" customHeight="1" x14ac:dyDescent="0.2">
      <c r="A147" s="225">
        <v>97</v>
      </c>
      <c r="B147" s="37"/>
      <c r="C147" s="10" t="s">
        <v>102</v>
      </c>
      <c r="D147" s="10"/>
      <c r="E147" s="19" t="s">
        <v>103</v>
      </c>
      <c r="F147" s="159" t="s">
        <v>221</v>
      </c>
      <c r="G147" s="303">
        <f t="shared" si="3"/>
        <v>102.7675</v>
      </c>
      <c r="H147" s="268"/>
      <c r="I147" s="492">
        <f>+'KIPP Assumptions'!$B$112</f>
        <v>1E-3</v>
      </c>
      <c r="J147" s="487"/>
      <c r="K147" s="487"/>
      <c r="L147" s="491"/>
      <c r="M147" s="487"/>
      <c r="N147" s="487"/>
      <c r="O147" s="487"/>
      <c r="P147" s="487"/>
      <c r="Q147" s="237"/>
      <c r="R147" s="237"/>
      <c r="S147" s="237"/>
      <c r="T147" s="237"/>
      <c r="U147" s="102"/>
      <c r="V147" s="102"/>
      <c r="W147" s="102"/>
      <c r="X147" s="102"/>
      <c r="Y147" s="102"/>
    </row>
    <row r="148" spans="1:25" ht="14.25" customHeight="1" x14ac:dyDescent="0.2">
      <c r="A148" s="225">
        <v>98</v>
      </c>
      <c r="B148" s="37"/>
      <c r="C148" s="10" t="s">
        <v>104</v>
      </c>
      <c r="D148" s="10"/>
      <c r="E148" s="19" t="s">
        <v>105</v>
      </c>
      <c r="F148" s="159" t="s">
        <v>221</v>
      </c>
      <c r="G148" s="303"/>
      <c r="H148" s="268"/>
      <c r="I148" s="490"/>
      <c r="J148" s="487"/>
      <c r="K148" s="487"/>
      <c r="L148" s="491"/>
      <c r="M148" s="487"/>
      <c r="N148" s="487"/>
      <c r="O148" s="487"/>
      <c r="P148" s="487"/>
      <c r="Q148" s="237"/>
      <c r="R148" s="237"/>
      <c r="S148" s="237"/>
      <c r="T148" s="237"/>
      <c r="U148" s="102"/>
      <c r="V148" s="102"/>
      <c r="W148" s="102"/>
      <c r="X148" s="102"/>
      <c r="Y148" s="102"/>
    </row>
    <row r="149" spans="1:25" ht="14.25" customHeight="1" x14ac:dyDescent="0.2">
      <c r="A149" s="225">
        <v>99</v>
      </c>
      <c r="B149" s="37"/>
      <c r="C149" s="86" t="s">
        <v>283</v>
      </c>
      <c r="D149" s="10"/>
      <c r="E149" s="19"/>
      <c r="F149" s="159"/>
      <c r="G149" s="303"/>
      <c r="H149" s="268"/>
      <c r="I149" s="490"/>
      <c r="J149" s="487"/>
      <c r="K149" s="487"/>
      <c r="L149" s="491"/>
      <c r="M149" s="487"/>
      <c r="N149" s="487"/>
      <c r="O149" s="487"/>
      <c r="P149" s="487"/>
      <c r="Q149" s="237"/>
      <c r="R149" s="237"/>
      <c r="S149" s="237"/>
      <c r="T149" s="237"/>
      <c r="U149" s="102"/>
      <c r="V149" s="102"/>
      <c r="W149" s="102"/>
      <c r="X149" s="102"/>
      <c r="Y149" s="102"/>
    </row>
    <row r="150" spans="1:25" ht="14.25" customHeight="1" x14ac:dyDescent="0.2">
      <c r="A150" s="225">
        <v>100</v>
      </c>
      <c r="B150" s="37"/>
      <c r="C150" s="86"/>
      <c r="D150" s="10"/>
      <c r="E150" s="19"/>
      <c r="F150" s="159"/>
      <c r="G150" s="303"/>
      <c r="H150" s="268"/>
      <c r="I150" s="490"/>
      <c r="J150" s="487"/>
      <c r="K150" s="487"/>
      <c r="L150" s="491"/>
      <c r="M150" s="487"/>
      <c r="N150" s="487"/>
      <c r="O150" s="487"/>
      <c r="P150" s="487"/>
      <c r="Q150" s="237"/>
      <c r="R150" s="237"/>
      <c r="S150" s="237"/>
      <c r="T150" s="237"/>
      <c r="U150" s="102"/>
      <c r="V150" s="102"/>
      <c r="W150" s="102"/>
      <c r="X150" s="102"/>
      <c r="Y150" s="102"/>
    </row>
    <row r="151" spans="1:25" ht="14.25" customHeight="1" x14ac:dyDescent="0.2">
      <c r="A151" s="225">
        <v>101</v>
      </c>
      <c r="B151" s="37"/>
      <c r="C151" s="86"/>
      <c r="D151" s="10"/>
      <c r="E151" s="19"/>
      <c r="F151" s="159"/>
      <c r="G151" s="303"/>
      <c r="H151" s="268"/>
      <c r="I151" s="490"/>
      <c r="J151" s="487"/>
      <c r="K151" s="487"/>
      <c r="L151" s="491"/>
      <c r="M151" s="487"/>
      <c r="N151" s="487"/>
      <c r="O151" s="487"/>
      <c r="P151" s="487"/>
      <c r="Q151" s="237"/>
      <c r="R151" s="237"/>
      <c r="S151" s="237"/>
      <c r="T151" s="237"/>
      <c r="U151" s="102"/>
      <c r="V151" s="102"/>
      <c r="W151" s="102"/>
      <c r="X151" s="102"/>
      <c r="Y151" s="102"/>
    </row>
    <row r="152" spans="1:25" ht="15.75" customHeight="1" x14ac:dyDescent="0.2">
      <c r="A152" s="225">
        <v>102</v>
      </c>
      <c r="B152" s="84"/>
      <c r="D152" s="14"/>
      <c r="E152" s="15"/>
      <c r="F152" s="167"/>
      <c r="G152" s="315"/>
      <c r="H152" s="283"/>
      <c r="I152" s="490"/>
      <c r="J152" s="487"/>
      <c r="K152" s="487"/>
      <c r="L152" s="491"/>
      <c r="M152" s="487"/>
      <c r="N152" s="487"/>
      <c r="O152" s="487"/>
      <c r="P152" s="487"/>
      <c r="Q152" s="237"/>
      <c r="R152" s="237"/>
      <c r="S152" s="237"/>
      <c r="T152" s="237"/>
      <c r="U152" s="102"/>
      <c r="V152" s="102"/>
      <c r="W152" s="102"/>
      <c r="X152" s="102"/>
      <c r="Y152" s="102"/>
    </row>
    <row r="153" spans="1:25" ht="15" customHeight="1" thickBot="1" x14ac:dyDescent="0.3">
      <c r="A153" s="226">
        <v>103</v>
      </c>
      <c r="B153" s="88" t="s">
        <v>19</v>
      </c>
      <c r="C153" s="52"/>
      <c r="D153" s="52"/>
      <c r="E153" s="50"/>
      <c r="F153" s="163"/>
      <c r="G153" s="306">
        <f>SUM(G131:G152)</f>
        <v>175732.23159714061</v>
      </c>
      <c r="H153" s="271"/>
      <c r="I153" s="490"/>
      <c r="J153" s="487"/>
      <c r="K153" s="487"/>
      <c r="L153" s="491"/>
      <c r="M153" s="487"/>
      <c r="N153" s="487"/>
      <c r="O153" s="487"/>
      <c r="P153" s="487"/>
      <c r="Q153" s="237"/>
      <c r="R153" s="237"/>
      <c r="S153" s="237"/>
      <c r="T153" s="237"/>
      <c r="U153" s="102"/>
      <c r="V153" s="102"/>
      <c r="W153" s="102"/>
      <c r="X153" s="102"/>
      <c r="Y153" s="102"/>
    </row>
    <row r="154" spans="1:25" ht="15.75" customHeight="1" thickBot="1" x14ac:dyDescent="0.3">
      <c r="A154" s="229">
        <v>104</v>
      </c>
      <c r="B154" s="76" t="s">
        <v>24</v>
      </c>
      <c r="C154" s="77"/>
      <c r="D154" s="77"/>
      <c r="E154" s="46"/>
      <c r="F154" s="166"/>
      <c r="G154" s="312">
        <f>+G100+G127+G153</f>
        <v>1737670.8853223608</v>
      </c>
      <c r="H154" s="287"/>
      <c r="I154" s="490"/>
      <c r="J154" s="487"/>
      <c r="K154" s="487"/>
      <c r="L154" s="491"/>
      <c r="M154" s="487"/>
      <c r="N154" s="487"/>
      <c r="O154" s="487"/>
      <c r="P154" s="487"/>
      <c r="Q154" s="237"/>
      <c r="R154" s="237"/>
      <c r="S154" s="237"/>
      <c r="T154" s="237"/>
      <c r="U154" s="102"/>
      <c r="V154" s="102"/>
      <c r="W154" s="102"/>
      <c r="X154" s="102"/>
      <c r="Y154" s="102"/>
    </row>
    <row r="155" spans="1:25" ht="4.5" customHeight="1" x14ac:dyDescent="0.2">
      <c r="A155" s="230"/>
      <c r="B155" s="36"/>
      <c r="C155" s="13"/>
      <c r="D155" s="13"/>
      <c r="E155" s="17"/>
      <c r="F155" s="171"/>
      <c r="G155" s="319"/>
      <c r="H155" s="288"/>
      <c r="I155" s="490"/>
      <c r="J155" s="487"/>
      <c r="K155" s="487"/>
      <c r="L155" s="491"/>
      <c r="M155" s="487"/>
      <c r="N155" s="487"/>
      <c r="O155" s="487"/>
      <c r="P155" s="487"/>
      <c r="Q155" s="237"/>
      <c r="R155" s="237"/>
      <c r="S155" s="237"/>
      <c r="T155" s="237"/>
      <c r="U155" s="102"/>
      <c r="V155" s="102"/>
      <c r="W155" s="102"/>
      <c r="X155" s="102"/>
      <c r="Y155" s="102"/>
    </row>
    <row r="156" spans="1:25" s="5" customFormat="1" ht="15" customHeight="1" x14ac:dyDescent="0.25">
      <c r="A156" s="225"/>
      <c r="B156" s="53" t="s">
        <v>22</v>
      </c>
      <c r="C156" s="54"/>
      <c r="D156" s="54"/>
      <c r="E156" s="62"/>
      <c r="F156" s="158"/>
      <c r="G156" s="302"/>
      <c r="H156" s="267"/>
      <c r="I156" s="490"/>
      <c r="J156" s="487"/>
      <c r="K156" s="487"/>
      <c r="L156" s="491"/>
      <c r="M156" s="487"/>
      <c r="N156" s="487"/>
      <c r="O156" s="487"/>
      <c r="P156" s="487"/>
      <c r="Q156" s="237"/>
      <c r="R156" s="237"/>
      <c r="S156" s="237"/>
      <c r="T156" s="237"/>
      <c r="U156" s="240"/>
      <c r="V156" s="240"/>
      <c r="W156" s="240"/>
      <c r="X156" s="240"/>
      <c r="Y156" s="240"/>
    </row>
    <row r="157" spans="1:25" s="5" customFormat="1" ht="15" customHeight="1" x14ac:dyDescent="0.25">
      <c r="A157" s="225"/>
      <c r="B157" s="89" t="s">
        <v>23</v>
      </c>
      <c r="C157" s="54"/>
      <c r="D157" s="54"/>
      <c r="E157" s="62"/>
      <c r="F157" s="158"/>
      <c r="G157" s="302"/>
      <c r="H157" s="267"/>
      <c r="I157" s="490"/>
      <c r="J157" s="487"/>
      <c r="K157" s="487"/>
      <c r="L157" s="491"/>
      <c r="M157" s="487"/>
      <c r="N157" s="487"/>
      <c r="O157" s="487"/>
      <c r="P157" s="487"/>
      <c r="Q157" s="237"/>
      <c r="R157" s="237"/>
      <c r="S157" s="237"/>
      <c r="T157" s="237"/>
      <c r="U157" s="240"/>
      <c r="V157" s="240"/>
      <c r="W157" s="240"/>
      <c r="X157" s="240"/>
      <c r="Y157" s="240"/>
    </row>
    <row r="158" spans="1:25" ht="14.25" customHeight="1" x14ac:dyDescent="0.2">
      <c r="A158" s="225">
        <v>105</v>
      </c>
      <c r="B158" s="37"/>
      <c r="C158" s="10" t="s">
        <v>281</v>
      </c>
      <c r="D158" s="10"/>
      <c r="E158" s="19" t="s">
        <v>221</v>
      </c>
      <c r="F158" s="159" t="s">
        <v>240</v>
      </c>
      <c r="G158" s="303">
        <f>+I158*J158</f>
        <v>55962.500000000007</v>
      </c>
      <c r="H158" s="268" t="s">
        <v>517</v>
      </c>
      <c r="I158" s="493">
        <f>'KIPP Assumptions'!C82</f>
        <v>1</v>
      </c>
      <c r="J158" s="314">
        <f>+'Yr 1 Operating Statement of Act'!J158*(1+'Operating Statement of Act'!$M$79)</f>
        <v>55962.500000000007</v>
      </c>
      <c r="K158" s="487"/>
      <c r="L158" s="491"/>
      <c r="M158" s="487"/>
      <c r="N158" s="487"/>
      <c r="O158" s="487"/>
      <c r="P158" s="487"/>
      <c r="Q158" s="237"/>
      <c r="R158" s="237"/>
      <c r="S158" s="237"/>
      <c r="T158" s="237"/>
      <c r="U158" s="102"/>
      <c r="V158" s="102"/>
      <c r="W158" s="102"/>
      <c r="X158" s="102"/>
      <c r="Y158" s="102"/>
    </row>
    <row r="159" spans="1:25" ht="14.25" customHeight="1" x14ac:dyDescent="0.2">
      <c r="A159" s="225">
        <v>106</v>
      </c>
      <c r="B159" s="37"/>
      <c r="C159" s="10" t="s">
        <v>8</v>
      </c>
      <c r="D159" s="10"/>
      <c r="E159" s="19" t="s">
        <v>221</v>
      </c>
      <c r="F159" s="159" t="s">
        <v>240</v>
      </c>
      <c r="G159" s="303">
        <f>+I159*J159</f>
        <v>0</v>
      </c>
      <c r="H159" s="268" t="s">
        <v>517</v>
      </c>
      <c r="I159" s="493">
        <f>+'KIPP Assumptions'!C$93</f>
        <v>0</v>
      </c>
      <c r="J159" s="314">
        <f>+'Yr 1 Operating Statement of Act'!J159*(1+'Operating Statement of Act'!$M$79)</f>
        <v>56980.000000000007</v>
      </c>
      <c r="K159" s="487"/>
      <c r="L159" s="491"/>
      <c r="M159" s="487"/>
      <c r="N159" s="487"/>
      <c r="O159" s="487"/>
      <c r="P159" s="487"/>
      <c r="Q159" s="237"/>
      <c r="R159" s="237"/>
      <c r="S159" s="237"/>
      <c r="T159" s="237"/>
      <c r="U159" s="102"/>
      <c r="V159" s="102"/>
      <c r="W159" s="102"/>
      <c r="X159" s="102"/>
      <c r="Y159" s="102"/>
    </row>
    <row r="160" spans="1:25" ht="14.25" customHeight="1" x14ac:dyDescent="0.2">
      <c r="A160" s="225">
        <v>107</v>
      </c>
      <c r="B160" s="37"/>
      <c r="C160" s="10" t="s">
        <v>282</v>
      </c>
      <c r="D160" s="10"/>
      <c r="E160" s="19" t="s">
        <v>221</v>
      </c>
      <c r="F160" s="159" t="s">
        <v>240</v>
      </c>
      <c r="G160" s="321">
        <f>+I160*J160*'KIPP Assumptions'!C$101</f>
        <v>28490.000000000004</v>
      </c>
      <c r="H160" s="268" t="s">
        <v>517</v>
      </c>
      <c r="I160" s="493">
        <f>+'KIPP Assumptions'!C$91</f>
        <v>1</v>
      </c>
      <c r="J160" s="314">
        <f>+'Yr 1 Operating Statement of Act'!J160*(1+'Operating Statement of Act'!$M$79)</f>
        <v>56980.000000000007</v>
      </c>
      <c r="K160" s="487"/>
      <c r="L160" s="491"/>
      <c r="M160" s="487"/>
      <c r="N160" s="487"/>
      <c r="O160" s="487"/>
      <c r="P160" s="487"/>
      <c r="Q160" s="237"/>
      <c r="R160" s="237"/>
      <c r="S160" s="237"/>
      <c r="T160" s="237"/>
      <c r="U160" s="102"/>
      <c r="V160" s="102"/>
      <c r="W160" s="102"/>
      <c r="X160" s="102"/>
      <c r="Y160" s="102"/>
    </row>
    <row r="161" spans="1:25" ht="14.25" customHeight="1" x14ac:dyDescent="0.2">
      <c r="A161" s="225">
        <v>108</v>
      </c>
      <c r="B161" s="37"/>
      <c r="C161" s="10" t="s">
        <v>120</v>
      </c>
      <c r="D161" s="10"/>
      <c r="E161" s="19" t="s">
        <v>221</v>
      </c>
      <c r="F161" s="159" t="s">
        <v>240</v>
      </c>
      <c r="G161" s="303">
        <f>+I161*J161</f>
        <v>32051.250000000004</v>
      </c>
      <c r="H161" s="268" t="s">
        <v>517</v>
      </c>
      <c r="I161" s="493">
        <f>+'KIPP Assumptions'!C$92</f>
        <v>0.5</v>
      </c>
      <c r="J161" s="314">
        <f>+'Yr 1 Operating Statement of Act'!J161*(1+'Operating Statement of Act'!$M$79)</f>
        <v>64102.500000000007</v>
      </c>
      <c r="K161" s="487"/>
      <c r="L161" s="491"/>
      <c r="M161" s="487"/>
      <c r="N161" s="487"/>
      <c r="O161" s="487"/>
      <c r="P161" s="487"/>
      <c r="Q161" s="237"/>
      <c r="R161" s="237"/>
      <c r="S161" s="237"/>
      <c r="T161" s="237"/>
      <c r="U161" s="102"/>
      <c r="V161" s="102"/>
      <c r="W161" s="102"/>
      <c r="X161" s="102"/>
      <c r="Y161" s="102"/>
    </row>
    <row r="162" spans="1:25" ht="14.25" customHeight="1" x14ac:dyDescent="0.2">
      <c r="A162" s="225">
        <v>109</v>
      </c>
      <c r="B162" s="37"/>
      <c r="C162" s="10" t="s">
        <v>295</v>
      </c>
      <c r="D162" s="10"/>
      <c r="E162" s="19" t="s">
        <v>97</v>
      </c>
      <c r="F162" s="159" t="s">
        <v>240</v>
      </c>
      <c r="G162" s="303">
        <f t="shared" ref="G162:G166" si="4">+SUM(G$158:G$161)*$I162</f>
        <v>8245.3588211428432</v>
      </c>
      <c r="H162" s="268"/>
      <c r="I162" s="492">
        <f>'KIPP Assumptions'!$B$105+'KIPP Assumptions'!$B$106+'KIPP Assumptions'!$B$107+'KIPP Assumptions'!$B$108+'KIPP Assumptions'!$B$109</f>
        <v>7.0773334087038758E-2</v>
      </c>
      <c r="J162" s="487"/>
      <c r="K162" s="487"/>
      <c r="L162" s="491"/>
      <c r="M162" s="487"/>
      <c r="N162" s="487"/>
      <c r="O162" s="487"/>
      <c r="P162" s="487"/>
      <c r="Q162" s="237"/>
      <c r="R162" s="237"/>
      <c r="S162" s="237"/>
      <c r="T162" s="237"/>
      <c r="U162" s="102"/>
      <c r="V162" s="102"/>
      <c r="W162" s="102"/>
      <c r="X162" s="102"/>
      <c r="Y162" s="102"/>
    </row>
    <row r="163" spans="1:25" ht="14.25" customHeight="1" x14ac:dyDescent="0.2">
      <c r="A163" s="225">
        <v>110</v>
      </c>
      <c r="B163" s="37"/>
      <c r="C163" s="10" t="s">
        <v>98</v>
      </c>
      <c r="D163" s="10"/>
      <c r="E163" s="19" t="s">
        <v>99</v>
      </c>
      <c r="F163" s="159" t="s">
        <v>240</v>
      </c>
      <c r="G163" s="303">
        <f t="shared" si="4"/>
        <v>7223.232500000001</v>
      </c>
      <c r="H163" s="268"/>
      <c r="I163" s="492">
        <f>'KIPP Assumptions'!$B$111</f>
        <v>6.2E-2</v>
      </c>
      <c r="J163" s="487"/>
      <c r="K163" s="487"/>
      <c r="L163" s="491"/>
      <c r="M163" s="487"/>
      <c r="N163" s="487"/>
      <c r="O163" s="487"/>
      <c r="P163" s="487"/>
      <c r="Q163" s="237"/>
      <c r="R163" s="237"/>
      <c r="S163" s="237"/>
      <c r="T163" s="237"/>
      <c r="U163" s="102"/>
      <c r="V163" s="102"/>
      <c r="W163" s="102"/>
      <c r="X163" s="102"/>
      <c r="Y163" s="102"/>
    </row>
    <row r="164" spans="1:25" ht="14.25" customHeight="1" x14ac:dyDescent="0.2">
      <c r="A164" s="225">
        <v>111</v>
      </c>
      <c r="B164" s="37"/>
      <c r="C164" s="10" t="s">
        <v>100</v>
      </c>
      <c r="D164" s="10"/>
      <c r="E164" s="19" t="s">
        <v>101</v>
      </c>
      <c r="F164" s="159" t="s">
        <v>240</v>
      </c>
      <c r="G164" s="303">
        <f t="shared" si="4"/>
        <v>1689.3043750000004</v>
      </c>
      <c r="H164" s="268"/>
      <c r="I164" s="492">
        <f>'KIPP Assumptions'!$B$110</f>
        <v>1.4500000000000001E-2</v>
      </c>
      <c r="J164" s="487"/>
      <c r="K164" s="487"/>
      <c r="L164" s="491"/>
      <c r="M164" s="487"/>
      <c r="N164" s="487"/>
      <c r="O164" s="487"/>
      <c r="P164" s="487"/>
      <c r="Q164" s="237"/>
      <c r="R164" s="237"/>
      <c r="S164" s="237"/>
      <c r="T164" s="237"/>
      <c r="U164" s="102"/>
      <c r="V164" s="102"/>
      <c r="W164" s="102"/>
      <c r="X164" s="102"/>
      <c r="Y164" s="102"/>
    </row>
    <row r="165" spans="1:25" ht="14.25" customHeight="1" x14ac:dyDescent="0.2">
      <c r="A165" s="225">
        <v>112</v>
      </c>
      <c r="B165" s="37"/>
      <c r="C165" s="10" t="s">
        <v>219</v>
      </c>
      <c r="D165" s="10"/>
      <c r="E165" s="19" t="s">
        <v>220</v>
      </c>
      <c r="F165" s="159" t="s">
        <v>240</v>
      </c>
      <c r="G165" s="303">
        <f t="shared" si="4"/>
        <v>3743.1590987471859</v>
      </c>
      <c r="H165" s="268"/>
      <c r="I165" s="492">
        <f>+'KIPP Assumptions'!$B$113</f>
        <v>3.21290868212155E-2</v>
      </c>
      <c r="J165" s="487"/>
      <c r="K165" s="487"/>
      <c r="L165" s="491"/>
      <c r="M165" s="487"/>
      <c r="N165" s="487"/>
      <c r="O165" s="487"/>
      <c r="P165" s="487"/>
      <c r="Q165" s="237"/>
      <c r="R165" s="237"/>
      <c r="S165" s="237"/>
      <c r="T165" s="237"/>
      <c r="U165" s="102"/>
      <c r="V165" s="102"/>
      <c r="W165" s="102"/>
      <c r="X165" s="102"/>
      <c r="Y165" s="102"/>
    </row>
    <row r="166" spans="1:25" ht="14.25" customHeight="1" x14ac:dyDescent="0.2">
      <c r="A166" s="225">
        <v>113</v>
      </c>
      <c r="B166" s="37"/>
      <c r="C166" s="10" t="s">
        <v>102</v>
      </c>
      <c r="D166" s="10"/>
      <c r="E166" s="19" t="s">
        <v>103</v>
      </c>
      <c r="F166" s="159" t="s">
        <v>240</v>
      </c>
      <c r="G166" s="303">
        <f t="shared" si="4"/>
        <v>116.50375000000001</v>
      </c>
      <c r="H166" s="268"/>
      <c r="I166" s="492">
        <f>+'KIPP Assumptions'!$B$112</f>
        <v>1E-3</v>
      </c>
      <c r="J166" s="487"/>
      <c r="K166" s="487"/>
      <c r="L166" s="491"/>
      <c r="M166" s="487"/>
      <c r="N166" s="487"/>
      <c r="O166" s="487"/>
      <c r="P166" s="487"/>
      <c r="Q166" s="237"/>
      <c r="R166" s="237"/>
      <c r="S166" s="237"/>
      <c r="T166" s="237"/>
      <c r="U166" s="102"/>
      <c r="V166" s="102"/>
      <c r="W166" s="102"/>
      <c r="X166" s="102"/>
      <c r="Y166" s="102"/>
    </row>
    <row r="167" spans="1:25" ht="14.25" customHeight="1" x14ac:dyDescent="0.2">
      <c r="A167" s="225">
        <v>114</v>
      </c>
      <c r="B167" s="37"/>
      <c r="C167" s="10" t="s">
        <v>104</v>
      </c>
      <c r="D167" s="10"/>
      <c r="E167" s="19" t="s">
        <v>105</v>
      </c>
      <c r="F167" s="159" t="s">
        <v>240</v>
      </c>
      <c r="G167" s="303"/>
      <c r="H167" s="268"/>
      <c r="I167" s="490"/>
      <c r="J167" s="487"/>
      <c r="K167" s="487"/>
      <c r="L167" s="491"/>
      <c r="M167" s="487"/>
      <c r="N167" s="487"/>
      <c r="O167" s="487"/>
      <c r="P167" s="487"/>
      <c r="Q167" s="237"/>
      <c r="R167" s="237"/>
      <c r="S167" s="237"/>
      <c r="T167" s="237"/>
      <c r="U167" s="102"/>
      <c r="V167" s="102"/>
      <c r="W167" s="102"/>
      <c r="X167" s="102"/>
      <c r="Y167" s="102"/>
    </row>
    <row r="168" spans="1:25" ht="14.25" customHeight="1" x14ac:dyDescent="0.2">
      <c r="A168" s="225">
        <v>115</v>
      </c>
      <c r="B168" s="37"/>
      <c r="C168" s="86" t="s">
        <v>283</v>
      </c>
      <c r="D168" s="10"/>
      <c r="E168" s="19"/>
      <c r="F168" s="159"/>
      <c r="G168" s="303"/>
      <c r="H168" s="268"/>
      <c r="I168" s="490"/>
      <c r="J168" s="487"/>
      <c r="K168" s="487"/>
      <c r="L168" s="491"/>
      <c r="M168" s="487"/>
      <c r="N168" s="487"/>
      <c r="O168" s="487"/>
      <c r="P168" s="487"/>
      <c r="Q168" s="237"/>
      <c r="R168" s="237"/>
      <c r="S168" s="237"/>
      <c r="T168" s="237"/>
      <c r="U168" s="102"/>
      <c r="V168" s="102"/>
      <c r="W168" s="102"/>
      <c r="X168" s="102"/>
      <c r="Y168" s="102"/>
    </row>
    <row r="169" spans="1:25" ht="14.25" customHeight="1" x14ac:dyDescent="0.2">
      <c r="A169" s="225">
        <v>116</v>
      </c>
      <c r="B169" s="37"/>
      <c r="C169" s="86"/>
      <c r="D169" s="10"/>
      <c r="E169" s="19"/>
      <c r="F169" s="159"/>
      <c r="G169" s="303"/>
      <c r="H169" s="268"/>
      <c r="I169" s="490"/>
      <c r="J169" s="487"/>
      <c r="K169" s="487"/>
      <c r="L169" s="491"/>
      <c r="M169" s="487"/>
      <c r="N169" s="487"/>
      <c r="O169" s="487"/>
      <c r="P169" s="487"/>
      <c r="Q169" s="237"/>
      <c r="R169" s="237"/>
      <c r="S169" s="237"/>
      <c r="T169" s="237"/>
      <c r="U169" s="102"/>
      <c r="V169" s="102"/>
      <c r="W169" s="102"/>
      <c r="X169" s="102"/>
      <c r="Y169" s="102"/>
    </row>
    <row r="170" spans="1:25" ht="14.25" customHeight="1" x14ac:dyDescent="0.2">
      <c r="A170" s="225">
        <v>117</v>
      </c>
      <c r="B170" s="84"/>
      <c r="C170" s="85"/>
      <c r="D170" s="14"/>
      <c r="E170" s="15"/>
      <c r="F170" s="167"/>
      <c r="G170" s="315"/>
      <c r="H170" s="283"/>
      <c r="I170" s="490"/>
      <c r="J170" s="487"/>
      <c r="K170" s="487"/>
      <c r="L170" s="491"/>
      <c r="M170" s="487"/>
      <c r="N170" s="487"/>
      <c r="O170" s="487"/>
      <c r="P170" s="487"/>
      <c r="Q170" s="237"/>
      <c r="R170" s="237"/>
      <c r="S170" s="237"/>
      <c r="T170" s="237"/>
      <c r="U170" s="102"/>
      <c r="V170" s="102"/>
      <c r="W170" s="102"/>
      <c r="X170" s="102"/>
      <c r="Y170" s="102"/>
    </row>
    <row r="171" spans="1:25" ht="15" customHeight="1" x14ac:dyDescent="0.25">
      <c r="A171" s="226">
        <v>118</v>
      </c>
      <c r="B171" s="88" t="s">
        <v>121</v>
      </c>
      <c r="C171" s="52"/>
      <c r="D171" s="52"/>
      <c r="E171" s="50"/>
      <c r="F171" s="163"/>
      <c r="G171" s="306">
        <f>SUM(G158:G170)</f>
        <v>137521.30854489005</v>
      </c>
      <c r="H171" s="271"/>
      <c r="I171" s="490"/>
      <c r="J171" s="487"/>
      <c r="K171" s="487"/>
      <c r="L171" s="491"/>
      <c r="M171" s="487"/>
      <c r="N171" s="487"/>
      <c r="O171" s="487"/>
      <c r="P171" s="487"/>
      <c r="Q171" s="237"/>
      <c r="R171" s="237"/>
      <c r="S171" s="237"/>
      <c r="T171" s="237"/>
      <c r="U171" s="102"/>
      <c r="V171" s="102"/>
      <c r="W171" s="102"/>
      <c r="X171" s="102"/>
      <c r="Y171" s="102"/>
    </row>
    <row r="172" spans="1:25" ht="9" customHeight="1" x14ac:dyDescent="0.2">
      <c r="A172" s="230"/>
      <c r="B172" s="36"/>
      <c r="C172" s="13"/>
      <c r="D172" s="13"/>
      <c r="E172" s="17"/>
      <c r="F172" s="171"/>
      <c r="G172" s="319"/>
      <c r="H172" s="288"/>
      <c r="I172" s="490"/>
      <c r="J172" s="487"/>
      <c r="K172" s="487"/>
      <c r="L172" s="491"/>
      <c r="M172" s="487"/>
      <c r="N172" s="487"/>
      <c r="O172" s="487"/>
      <c r="P172" s="487"/>
      <c r="Q172" s="237"/>
      <c r="R172" s="237"/>
      <c r="S172" s="237"/>
      <c r="T172" s="237"/>
      <c r="U172" s="102"/>
      <c r="V172" s="102"/>
      <c r="W172" s="102"/>
      <c r="X172" s="102"/>
      <c r="Y172" s="102"/>
    </row>
    <row r="173" spans="1:25" s="5" customFormat="1" ht="15" customHeight="1" x14ac:dyDescent="0.25">
      <c r="A173" s="225"/>
      <c r="B173" s="89" t="s">
        <v>25</v>
      </c>
      <c r="C173" s="54"/>
      <c r="D173" s="54"/>
      <c r="E173" s="62"/>
      <c r="F173" s="158"/>
      <c r="G173" s="302"/>
      <c r="H173" s="267"/>
      <c r="I173" s="490"/>
      <c r="J173" s="487"/>
      <c r="K173" s="487"/>
      <c r="L173" s="491"/>
      <c r="M173" s="487"/>
      <c r="N173" s="487"/>
      <c r="O173" s="487"/>
      <c r="P173" s="487"/>
      <c r="Q173" s="237"/>
      <c r="R173" s="237"/>
      <c r="S173" s="237"/>
      <c r="T173" s="237"/>
      <c r="U173" s="240"/>
      <c r="V173" s="240"/>
      <c r="W173" s="240"/>
      <c r="X173" s="240"/>
      <c r="Y173" s="240"/>
    </row>
    <row r="174" spans="1:25" ht="14.25" customHeight="1" x14ac:dyDescent="0.2">
      <c r="A174" s="225">
        <v>119</v>
      </c>
      <c r="B174" s="37"/>
      <c r="C174" s="10" t="s">
        <v>241</v>
      </c>
      <c r="D174" s="10"/>
      <c r="E174" s="19">
        <v>111</v>
      </c>
      <c r="F174" s="159" t="s">
        <v>265</v>
      </c>
      <c r="G174" s="303"/>
      <c r="H174" s="268"/>
      <c r="I174" s="490"/>
      <c r="J174" s="487"/>
      <c r="K174" s="487"/>
      <c r="L174" s="491"/>
      <c r="M174" s="487"/>
      <c r="N174" s="487"/>
      <c r="O174" s="487"/>
      <c r="P174" s="487"/>
      <c r="Q174" s="237"/>
      <c r="R174" s="237"/>
      <c r="S174" s="237"/>
      <c r="T174" s="237"/>
      <c r="U174" s="102"/>
      <c r="V174" s="102"/>
      <c r="W174" s="102"/>
      <c r="X174" s="102"/>
      <c r="Y174" s="102"/>
    </row>
    <row r="175" spans="1:25" x14ac:dyDescent="0.2">
      <c r="A175" s="225">
        <v>120</v>
      </c>
      <c r="B175" s="37"/>
      <c r="C175" s="10" t="s">
        <v>122</v>
      </c>
      <c r="D175" s="10"/>
      <c r="E175" s="19" t="s">
        <v>221</v>
      </c>
      <c r="F175" s="159" t="s">
        <v>265</v>
      </c>
      <c r="G175" s="303">
        <v>20400</v>
      </c>
      <c r="H175" s="268"/>
      <c r="I175" s="490"/>
      <c r="J175" s="491"/>
      <c r="K175" s="491"/>
      <c r="L175" s="491"/>
      <c r="M175" s="487"/>
      <c r="N175" s="487"/>
      <c r="O175" s="487"/>
      <c r="P175" s="487"/>
      <c r="Q175" s="237"/>
      <c r="R175" s="237"/>
      <c r="S175" s="237"/>
      <c r="T175" s="237"/>
      <c r="U175" s="102"/>
      <c r="V175" s="102"/>
      <c r="W175" s="102"/>
      <c r="X175" s="102"/>
      <c r="Y175" s="102"/>
    </row>
    <row r="176" spans="1:25" ht="14.25" customHeight="1" x14ac:dyDescent="0.2">
      <c r="A176" s="225">
        <v>121</v>
      </c>
      <c r="B176" s="37"/>
      <c r="C176" s="10" t="s">
        <v>266</v>
      </c>
      <c r="D176" s="10"/>
      <c r="E176" s="19" t="s">
        <v>224</v>
      </c>
      <c r="F176" s="159" t="s">
        <v>265</v>
      </c>
      <c r="G176" s="303"/>
      <c r="H176" s="268"/>
      <c r="I176" s="490"/>
      <c r="J176" s="487"/>
      <c r="K176" s="487"/>
      <c r="L176" s="491"/>
      <c r="M176" s="487"/>
      <c r="N176" s="487"/>
      <c r="O176" s="487"/>
      <c r="P176" s="487"/>
      <c r="Q176" s="237"/>
      <c r="R176" s="237"/>
      <c r="S176" s="237"/>
      <c r="T176" s="237"/>
      <c r="U176" s="102"/>
      <c r="V176" s="102"/>
      <c r="W176" s="102"/>
      <c r="X176" s="102"/>
      <c r="Y176" s="102"/>
    </row>
    <row r="177" spans="1:25" ht="14.25" customHeight="1" x14ac:dyDescent="0.2">
      <c r="A177" s="225">
        <v>122</v>
      </c>
      <c r="B177" s="37"/>
      <c r="C177" s="10" t="s">
        <v>123</v>
      </c>
      <c r="D177" s="10"/>
      <c r="E177" s="19" t="s">
        <v>221</v>
      </c>
      <c r="F177" s="159">
        <v>2230</v>
      </c>
      <c r="G177" s="303"/>
      <c r="H177" s="268"/>
      <c r="I177" s="490"/>
      <c r="J177" s="487"/>
      <c r="K177" s="487"/>
      <c r="L177" s="491"/>
      <c r="M177" s="487"/>
      <c r="N177" s="487"/>
      <c r="O177" s="487"/>
      <c r="P177" s="487"/>
      <c r="Q177" s="237"/>
      <c r="R177" s="237"/>
      <c r="S177" s="237"/>
      <c r="T177" s="237"/>
      <c r="U177" s="102"/>
      <c r="V177" s="102"/>
      <c r="W177" s="102"/>
      <c r="X177" s="102"/>
      <c r="Y177" s="102"/>
    </row>
    <row r="178" spans="1:25" ht="14.25" customHeight="1" x14ac:dyDescent="0.2">
      <c r="A178" s="225">
        <v>123</v>
      </c>
      <c r="B178" s="37"/>
      <c r="C178" s="10" t="s">
        <v>124</v>
      </c>
      <c r="D178" s="10"/>
      <c r="E178" s="19" t="s">
        <v>221</v>
      </c>
      <c r="F178" s="159" t="s">
        <v>265</v>
      </c>
      <c r="G178" s="303"/>
      <c r="H178" s="268"/>
      <c r="I178" s="490"/>
      <c r="J178" s="487"/>
      <c r="K178" s="487"/>
      <c r="L178" s="491"/>
      <c r="M178" s="487"/>
      <c r="N178" s="487"/>
      <c r="O178" s="487"/>
      <c r="P178" s="487"/>
      <c r="Q178" s="237"/>
      <c r="R178" s="237"/>
      <c r="S178" s="237"/>
      <c r="T178" s="237"/>
      <c r="U178" s="102"/>
      <c r="V178" s="102"/>
      <c r="W178" s="102"/>
      <c r="X178" s="102"/>
      <c r="Y178" s="102"/>
    </row>
    <row r="179" spans="1:25" ht="14.25" customHeight="1" x14ac:dyDescent="0.2">
      <c r="A179" s="225">
        <v>124</v>
      </c>
      <c r="B179" s="37"/>
      <c r="C179" s="10" t="s">
        <v>295</v>
      </c>
      <c r="D179" s="10"/>
      <c r="E179" s="19" t="s">
        <v>97</v>
      </c>
      <c r="F179" s="159" t="s">
        <v>265</v>
      </c>
      <c r="G179" s="303">
        <v>0</v>
      </c>
      <c r="H179" s="268" t="s">
        <v>411</v>
      </c>
      <c r="I179" s="490"/>
      <c r="J179" s="487"/>
      <c r="K179" s="487"/>
      <c r="L179" s="491"/>
      <c r="M179" s="487"/>
      <c r="N179" s="487"/>
      <c r="O179" s="487"/>
      <c r="P179" s="487"/>
      <c r="Q179" s="237"/>
      <c r="R179" s="237"/>
      <c r="S179" s="237"/>
      <c r="T179" s="237"/>
      <c r="U179" s="102"/>
      <c r="V179" s="102"/>
      <c r="W179" s="102"/>
      <c r="X179" s="102"/>
      <c r="Y179" s="102"/>
    </row>
    <row r="180" spans="1:25" ht="14.25" customHeight="1" x14ac:dyDescent="0.2">
      <c r="A180" s="225">
        <v>125</v>
      </c>
      <c r="B180" s="37"/>
      <c r="C180" s="10" t="s">
        <v>98</v>
      </c>
      <c r="D180" s="10"/>
      <c r="E180" s="19" t="s">
        <v>99</v>
      </c>
      <c r="F180" s="159" t="s">
        <v>265</v>
      </c>
      <c r="G180" s="303">
        <v>0</v>
      </c>
      <c r="H180" s="268" t="s">
        <v>411</v>
      </c>
      <c r="I180" s="490"/>
      <c r="J180" s="487"/>
      <c r="K180" s="487"/>
      <c r="L180" s="491"/>
      <c r="M180" s="487"/>
      <c r="N180" s="487"/>
      <c r="O180" s="487"/>
      <c r="P180" s="487"/>
      <c r="Q180" s="237"/>
      <c r="R180" s="237"/>
      <c r="S180" s="237"/>
      <c r="T180" s="237"/>
      <c r="U180" s="102"/>
      <c r="V180" s="102"/>
      <c r="W180" s="102"/>
      <c r="X180" s="102"/>
      <c r="Y180" s="102"/>
    </row>
    <row r="181" spans="1:25" ht="14.25" customHeight="1" x14ac:dyDescent="0.2">
      <c r="A181" s="225">
        <v>126</v>
      </c>
      <c r="B181" s="37"/>
      <c r="C181" s="10" t="s">
        <v>100</v>
      </c>
      <c r="D181" s="10"/>
      <c r="E181" s="19" t="s">
        <v>101</v>
      </c>
      <c r="F181" s="159" t="s">
        <v>265</v>
      </c>
      <c r="G181" s="303">
        <v>0</v>
      </c>
      <c r="H181" s="268" t="s">
        <v>411</v>
      </c>
      <c r="I181" s="490"/>
      <c r="J181" s="487"/>
      <c r="K181" s="487"/>
      <c r="L181" s="491"/>
      <c r="M181" s="487"/>
      <c r="N181" s="487"/>
      <c r="O181" s="487"/>
      <c r="P181" s="487"/>
      <c r="Q181" s="237"/>
      <c r="R181" s="237"/>
      <c r="S181" s="237"/>
      <c r="T181" s="237"/>
      <c r="U181" s="102"/>
      <c r="V181" s="102"/>
      <c r="W181" s="102"/>
      <c r="X181" s="102"/>
      <c r="Y181" s="102"/>
    </row>
    <row r="182" spans="1:25" ht="14.25" customHeight="1" x14ac:dyDescent="0.2">
      <c r="A182" s="225">
        <v>127</v>
      </c>
      <c r="B182" s="37"/>
      <c r="C182" s="10" t="s">
        <v>219</v>
      </c>
      <c r="D182" s="10"/>
      <c r="E182" s="19" t="s">
        <v>220</v>
      </c>
      <c r="F182" s="159" t="s">
        <v>265</v>
      </c>
      <c r="G182" s="303">
        <v>0</v>
      </c>
      <c r="H182" s="268" t="s">
        <v>411</v>
      </c>
      <c r="I182" s="490"/>
      <c r="J182" s="487"/>
      <c r="K182" s="487"/>
      <c r="L182" s="491"/>
      <c r="M182" s="487"/>
      <c r="N182" s="487"/>
      <c r="O182" s="487"/>
      <c r="P182" s="487"/>
      <c r="Q182" s="237"/>
      <c r="R182" s="237"/>
      <c r="S182" s="237"/>
      <c r="T182" s="237"/>
      <c r="U182" s="102"/>
      <c r="V182" s="102"/>
      <c r="W182" s="102"/>
      <c r="X182" s="102"/>
      <c r="Y182" s="102"/>
    </row>
    <row r="183" spans="1:25" ht="14.25" customHeight="1" x14ac:dyDescent="0.2">
      <c r="A183" s="225">
        <v>128</v>
      </c>
      <c r="B183" s="37"/>
      <c r="C183" s="10" t="s">
        <v>102</v>
      </c>
      <c r="D183" s="10"/>
      <c r="E183" s="19" t="s">
        <v>103</v>
      </c>
      <c r="F183" s="159" t="s">
        <v>265</v>
      </c>
      <c r="G183" s="303">
        <v>0</v>
      </c>
      <c r="H183" s="268" t="s">
        <v>411</v>
      </c>
      <c r="I183" s="490"/>
      <c r="J183" s="487"/>
      <c r="K183" s="487"/>
      <c r="L183" s="491"/>
      <c r="M183" s="487"/>
      <c r="N183" s="487"/>
      <c r="O183" s="487"/>
      <c r="P183" s="487"/>
      <c r="Q183" s="237"/>
      <c r="R183" s="237"/>
      <c r="S183" s="237"/>
      <c r="T183" s="237"/>
      <c r="U183" s="102"/>
      <c r="V183" s="102"/>
      <c r="W183" s="102"/>
      <c r="X183" s="102"/>
      <c r="Y183" s="102"/>
    </row>
    <row r="184" spans="1:25" ht="14.25" customHeight="1" x14ac:dyDescent="0.2">
      <c r="A184" s="225">
        <v>129</v>
      </c>
      <c r="B184" s="37"/>
      <c r="C184" s="10" t="s">
        <v>104</v>
      </c>
      <c r="D184" s="10"/>
      <c r="E184" s="19" t="s">
        <v>105</v>
      </c>
      <c r="F184" s="159" t="s">
        <v>265</v>
      </c>
      <c r="G184" s="303">
        <v>0</v>
      </c>
      <c r="H184" s="268" t="s">
        <v>411</v>
      </c>
      <c r="I184" s="490"/>
      <c r="J184" s="487"/>
      <c r="K184" s="487"/>
      <c r="L184" s="491"/>
      <c r="M184" s="487"/>
      <c r="N184" s="487"/>
      <c r="O184" s="487"/>
      <c r="P184" s="487"/>
      <c r="Q184" s="237"/>
      <c r="R184" s="237"/>
      <c r="S184" s="237"/>
      <c r="T184" s="237"/>
      <c r="U184" s="102"/>
      <c r="V184" s="102"/>
      <c r="W184" s="102"/>
      <c r="X184" s="102"/>
      <c r="Y184" s="102"/>
    </row>
    <row r="185" spans="1:25" ht="14.25" customHeight="1" x14ac:dyDescent="0.2">
      <c r="A185" s="225">
        <v>130</v>
      </c>
      <c r="B185" s="37"/>
      <c r="C185" s="86" t="s">
        <v>283</v>
      </c>
      <c r="D185" s="10"/>
      <c r="E185" s="19"/>
      <c r="F185" s="159"/>
      <c r="G185" s="303"/>
      <c r="H185" s="268"/>
      <c r="I185" s="490"/>
      <c r="J185" s="487"/>
      <c r="K185" s="487"/>
      <c r="L185" s="491"/>
      <c r="M185" s="487"/>
      <c r="N185" s="487"/>
      <c r="O185" s="487"/>
      <c r="P185" s="487"/>
      <c r="Q185" s="237"/>
      <c r="R185" s="237"/>
      <c r="S185" s="237"/>
      <c r="T185" s="237"/>
      <c r="U185" s="102"/>
      <c r="V185" s="102"/>
      <c r="W185" s="102"/>
      <c r="X185" s="102"/>
      <c r="Y185" s="102"/>
    </row>
    <row r="186" spans="1:25" ht="14.25" customHeight="1" x14ac:dyDescent="0.2">
      <c r="A186" s="225">
        <v>131</v>
      </c>
      <c r="B186" s="37"/>
      <c r="C186" s="86"/>
      <c r="D186" s="10"/>
      <c r="E186" s="19"/>
      <c r="F186" s="159"/>
      <c r="G186" s="303"/>
      <c r="H186" s="268"/>
      <c r="I186" s="490"/>
      <c r="J186" s="487"/>
      <c r="K186" s="487"/>
      <c r="L186" s="491"/>
      <c r="M186" s="487"/>
      <c r="N186" s="487"/>
      <c r="O186" s="487"/>
      <c r="P186" s="487"/>
      <c r="Q186" s="237"/>
      <c r="R186" s="237"/>
      <c r="S186" s="237"/>
      <c r="T186" s="237"/>
      <c r="U186" s="102"/>
      <c r="V186" s="102"/>
      <c r="W186" s="102"/>
      <c r="X186" s="102"/>
      <c r="Y186" s="102"/>
    </row>
    <row r="187" spans="1:25" ht="14.25" customHeight="1" x14ac:dyDescent="0.2">
      <c r="A187" s="225">
        <v>132</v>
      </c>
      <c r="B187" s="84"/>
      <c r="D187" s="14"/>
      <c r="E187" s="15"/>
      <c r="F187" s="167"/>
      <c r="G187" s="315"/>
      <c r="H187" s="283"/>
      <c r="I187" s="490"/>
      <c r="J187" s="487"/>
      <c r="K187" s="487"/>
      <c r="L187" s="491"/>
      <c r="M187" s="487"/>
      <c r="N187" s="487"/>
      <c r="O187" s="487"/>
      <c r="P187" s="487"/>
      <c r="Q187" s="237"/>
      <c r="R187" s="237"/>
      <c r="S187" s="237"/>
      <c r="T187" s="237"/>
      <c r="U187" s="102"/>
      <c r="V187" s="102"/>
      <c r="W187" s="102"/>
      <c r="X187" s="102"/>
      <c r="Y187" s="102"/>
    </row>
    <row r="188" spans="1:25" ht="15" customHeight="1" x14ac:dyDescent="0.25">
      <c r="A188" s="226">
        <v>133</v>
      </c>
      <c r="B188" s="88" t="s">
        <v>125</v>
      </c>
      <c r="C188" s="52"/>
      <c r="D188" s="52"/>
      <c r="E188" s="50"/>
      <c r="F188" s="163"/>
      <c r="G188" s="306">
        <f>SUM(G174:G187)</f>
        <v>20400</v>
      </c>
      <c r="H188" s="271"/>
      <c r="I188" s="490"/>
      <c r="J188" s="487"/>
      <c r="K188" s="487"/>
      <c r="L188" s="491"/>
      <c r="M188" s="487"/>
      <c r="N188" s="487"/>
      <c r="O188" s="487"/>
      <c r="P188" s="487"/>
      <c r="Q188" s="237"/>
      <c r="R188" s="237"/>
      <c r="S188" s="237"/>
      <c r="T188" s="237"/>
      <c r="U188" s="102"/>
      <c r="V188" s="102"/>
      <c r="W188" s="102"/>
      <c r="X188" s="102"/>
      <c r="Y188" s="102"/>
    </row>
    <row r="189" spans="1:25" ht="4.5" customHeight="1" x14ac:dyDescent="0.2">
      <c r="A189" s="230"/>
      <c r="B189" s="36"/>
      <c r="C189" s="13"/>
      <c r="D189" s="13"/>
      <c r="E189" s="17"/>
      <c r="F189" s="171"/>
      <c r="G189" s="319"/>
      <c r="H189" s="288"/>
      <c r="I189" s="490"/>
      <c r="J189" s="487"/>
      <c r="K189" s="487"/>
      <c r="L189" s="491"/>
      <c r="M189" s="487"/>
      <c r="N189" s="487"/>
      <c r="O189" s="487"/>
      <c r="P189" s="487"/>
      <c r="Q189" s="237"/>
      <c r="R189" s="237"/>
      <c r="S189" s="237"/>
      <c r="T189" s="237"/>
      <c r="U189" s="102"/>
      <c r="V189" s="102"/>
      <c r="W189" s="102"/>
      <c r="X189" s="102"/>
      <c r="Y189" s="102"/>
    </row>
    <row r="190" spans="1:25" s="5" customFormat="1" ht="15" customHeight="1" x14ac:dyDescent="0.25">
      <c r="A190" s="225"/>
      <c r="B190" s="89" t="s">
        <v>292</v>
      </c>
      <c r="C190" s="54"/>
      <c r="D190" s="54"/>
      <c r="E190" s="62"/>
      <c r="F190" s="158"/>
      <c r="G190" s="302"/>
      <c r="H190" s="267"/>
      <c r="I190" s="490"/>
      <c r="J190" s="487"/>
      <c r="K190" s="487"/>
      <c r="L190" s="491"/>
      <c r="M190" s="487"/>
      <c r="N190" s="487"/>
      <c r="O190" s="487"/>
      <c r="P190" s="487"/>
      <c r="Q190" s="237"/>
      <c r="R190" s="237"/>
      <c r="S190" s="237"/>
      <c r="T190" s="237"/>
      <c r="U190" s="240"/>
      <c r="V190" s="240"/>
      <c r="W190" s="240"/>
      <c r="X190" s="240"/>
      <c r="Y190" s="240"/>
    </row>
    <row r="191" spans="1:25" ht="14.25" customHeight="1" x14ac:dyDescent="0.2">
      <c r="A191" s="225"/>
      <c r="B191" s="26"/>
      <c r="C191" s="12" t="s">
        <v>1</v>
      </c>
      <c r="D191" s="12"/>
      <c r="E191" s="62"/>
      <c r="F191" s="158"/>
      <c r="G191" s="302"/>
      <c r="H191" s="267"/>
      <c r="I191" s="490"/>
      <c r="J191" s="487"/>
      <c r="K191" s="487"/>
      <c r="L191" s="491"/>
      <c r="M191" s="487"/>
      <c r="N191" s="487"/>
      <c r="O191" s="487"/>
      <c r="P191" s="487"/>
      <c r="Q191" s="237"/>
      <c r="R191" s="237"/>
      <c r="S191" s="237"/>
      <c r="T191" s="237"/>
      <c r="U191" s="102"/>
      <c r="V191" s="102"/>
      <c r="W191" s="102"/>
      <c r="X191" s="102"/>
      <c r="Y191" s="102"/>
    </row>
    <row r="192" spans="1:25" x14ac:dyDescent="0.2">
      <c r="A192" s="225">
        <v>134</v>
      </c>
      <c r="B192" s="37"/>
      <c r="C192" s="10"/>
      <c r="D192" s="10" t="s">
        <v>127</v>
      </c>
      <c r="E192" s="19">
        <v>332</v>
      </c>
      <c r="F192" s="159" t="s">
        <v>225</v>
      </c>
      <c r="G192" s="303">
        <v>35700</v>
      </c>
      <c r="H192" s="268" t="s">
        <v>425</v>
      </c>
      <c r="I192" s="490"/>
      <c r="J192" s="491"/>
      <c r="K192" s="491"/>
      <c r="L192" s="491"/>
      <c r="M192" s="487"/>
      <c r="N192" s="487"/>
      <c r="O192" s="487"/>
      <c r="P192" s="487"/>
      <c r="Q192" s="237"/>
      <c r="R192" s="237"/>
      <c r="S192" s="237"/>
      <c r="T192" s="237"/>
      <c r="U192" s="102"/>
      <c r="V192" s="102"/>
      <c r="W192" s="102"/>
      <c r="X192" s="102"/>
      <c r="Y192" s="102"/>
    </row>
    <row r="193" spans="1:25" x14ac:dyDescent="0.2">
      <c r="A193" s="225">
        <v>135</v>
      </c>
      <c r="B193" s="37"/>
      <c r="C193" s="10"/>
      <c r="D193" s="10" t="s">
        <v>83</v>
      </c>
      <c r="E193" s="19" t="s">
        <v>84</v>
      </c>
      <c r="F193" s="159" t="s">
        <v>126</v>
      </c>
      <c r="G193" s="303">
        <v>0</v>
      </c>
      <c r="H193" s="268"/>
      <c r="I193" s="490"/>
      <c r="J193" s="491"/>
      <c r="K193" s="487"/>
      <c r="L193" s="491"/>
      <c r="M193" s="487"/>
      <c r="N193" s="487"/>
      <c r="O193" s="487"/>
      <c r="P193" s="487"/>
      <c r="Q193" s="237"/>
      <c r="R193" s="237"/>
      <c r="S193" s="237"/>
      <c r="T193" s="237"/>
      <c r="U193" s="102"/>
      <c r="V193" s="102"/>
      <c r="W193" s="102"/>
      <c r="X193" s="102"/>
      <c r="Y193" s="102"/>
    </row>
    <row r="194" spans="1:25" x14ac:dyDescent="0.2">
      <c r="A194" s="225">
        <v>136</v>
      </c>
      <c r="B194" s="37"/>
      <c r="C194" s="10"/>
      <c r="D194" s="10" t="s">
        <v>128</v>
      </c>
      <c r="E194" s="19" t="s">
        <v>129</v>
      </c>
      <c r="F194" s="159" t="s">
        <v>126</v>
      </c>
      <c r="G194" s="303">
        <v>6834</v>
      </c>
      <c r="H194" s="268"/>
      <c r="I194" s="490"/>
      <c r="J194" s="491"/>
      <c r="K194" s="491"/>
      <c r="L194" s="491"/>
      <c r="M194" s="487"/>
      <c r="N194" s="487"/>
      <c r="O194" s="487"/>
      <c r="P194" s="487"/>
      <c r="Q194" s="237"/>
      <c r="R194" s="237"/>
      <c r="S194" s="237"/>
      <c r="T194" s="237"/>
      <c r="U194" s="102"/>
      <c r="V194" s="102"/>
      <c r="W194" s="102"/>
      <c r="X194" s="102"/>
      <c r="Y194" s="102"/>
    </row>
    <row r="195" spans="1:25" x14ac:dyDescent="0.2">
      <c r="A195" s="225">
        <v>137</v>
      </c>
      <c r="B195" s="37"/>
      <c r="C195" s="10"/>
      <c r="D195" s="10" t="s">
        <v>130</v>
      </c>
      <c r="E195" s="19" t="s">
        <v>223</v>
      </c>
      <c r="F195" s="159" t="s">
        <v>225</v>
      </c>
      <c r="G195" s="321">
        <v>42717.599999999999</v>
      </c>
      <c r="H195" s="268" t="s">
        <v>427</v>
      </c>
      <c r="I195" s="490"/>
      <c r="J195" s="491"/>
      <c r="K195" s="491"/>
      <c r="L195" s="491"/>
      <c r="M195" s="487"/>
      <c r="N195" s="487"/>
      <c r="O195" s="487"/>
      <c r="P195" s="487"/>
      <c r="Q195" s="237"/>
      <c r="R195" s="237"/>
      <c r="S195" s="237"/>
      <c r="T195" s="237"/>
      <c r="U195" s="102"/>
      <c r="V195" s="102"/>
      <c r="W195" s="102"/>
      <c r="X195" s="102"/>
      <c r="Y195" s="102"/>
    </row>
    <row r="196" spans="1:25" x14ac:dyDescent="0.2">
      <c r="A196" s="225">
        <v>138</v>
      </c>
      <c r="B196" s="37"/>
      <c r="C196" s="10"/>
      <c r="D196" s="10" t="s">
        <v>131</v>
      </c>
      <c r="E196" s="19" t="s">
        <v>132</v>
      </c>
      <c r="F196" s="159" t="s">
        <v>126</v>
      </c>
      <c r="G196" s="303">
        <v>2550</v>
      </c>
      <c r="H196" s="268" t="s">
        <v>433</v>
      </c>
      <c r="I196" s="490"/>
      <c r="J196" s="491"/>
      <c r="K196" s="491"/>
      <c r="L196" s="491"/>
      <c r="M196" s="487"/>
      <c r="N196" s="487"/>
      <c r="O196" s="487"/>
      <c r="P196" s="487"/>
      <c r="Q196" s="237"/>
      <c r="R196" s="237"/>
      <c r="S196" s="237"/>
      <c r="T196" s="237"/>
      <c r="U196" s="102"/>
      <c r="V196" s="102"/>
      <c r="W196" s="102"/>
      <c r="X196" s="102"/>
      <c r="Y196" s="102"/>
    </row>
    <row r="197" spans="1:25" ht="14.25" customHeight="1" x14ac:dyDescent="0.2">
      <c r="A197" s="225">
        <v>139</v>
      </c>
      <c r="B197" s="37"/>
      <c r="C197" s="10"/>
      <c r="D197" s="10" t="s">
        <v>5</v>
      </c>
      <c r="E197" s="19">
        <v>730</v>
      </c>
      <c r="F197" s="159" t="s">
        <v>225</v>
      </c>
      <c r="G197" s="303"/>
      <c r="H197" s="268"/>
      <c r="I197" s="490"/>
      <c r="J197" s="487"/>
      <c r="K197" s="487"/>
      <c r="L197" s="491"/>
      <c r="M197" s="487"/>
      <c r="N197" s="487"/>
      <c r="O197" s="487"/>
      <c r="P197" s="487"/>
      <c r="Q197" s="237"/>
      <c r="R197" s="237"/>
      <c r="S197" s="237"/>
      <c r="T197" s="237"/>
      <c r="U197" s="102"/>
      <c r="V197" s="102"/>
      <c r="W197" s="102"/>
      <c r="X197" s="102"/>
      <c r="Y197" s="102"/>
    </row>
    <row r="198" spans="1:25" ht="14.25" customHeight="1" x14ac:dyDescent="0.2">
      <c r="A198" s="225">
        <v>140</v>
      </c>
      <c r="B198" s="37"/>
      <c r="C198" s="10"/>
      <c r="D198" s="10" t="s">
        <v>133</v>
      </c>
      <c r="E198" s="19" t="s">
        <v>116</v>
      </c>
      <c r="F198" s="159" t="s">
        <v>126</v>
      </c>
      <c r="G198" s="303">
        <f>+'KIPP Assumptions'!$C51*('KIPP Assumptions'!C$6*SUM('KIPP Assumptions'!C$17:C$20)+SUMPRODUCT('KIPP Assumptions'!C$7:C$14,'KIPP Assumptions'!C$21:C$28))+'KIPP Assumptions'!$C52</f>
        <v>102328.40660000002</v>
      </c>
      <c r="H198" s="268" t="str">
        <f>"LDE/OPSB fees ("&amp;TEXT('KIPP Assumptions'!$C$51,"#.0%")&amp;" of MFP) and KIPP Foundation Fee ("&amp;TEXT('KIPP Assumptions'!$C$52,"$#,##0")&amp;")"</f>
        <v>LDE/OPSB fees (2.0% of MFP) and KIPP Foundation Fee ($30,000)</v>
      </c>
      <c r="I198" s="490"/>
      <c r="J198" s="487"/>
      <c r="K198" s="487"/>
      <c r="L198" s="491"/>
      <c r="M198" s="487"/>
      <c r="N198" s="487"/>
      <c r="O198" s="487"/>
      <c r="P198" s="487"/>
      <c r="Q198" s="237"/>
      <c r="R198" s="237"/>
      <c r="S198" s="237"/>
      <c r="T198" s="237"/>
      <c r="U198" s="102"/>
      <c r="V198" s="102"/>
      <c r="W198" s="102"/>
      <c r="X198" s="102"/>
      <c r="Y198" s="102"/>
    </row>
    <row r="199" spans="1:25" ht="14.25" customHeight="1" x14ac:dyDescent="0.2">
      <c r="A199" s="225">
        <v>141</v>
      </c>
      <c r="B199" s="37"/>
      <c r="C199" s="10"/>
      <c r="D199" s="10" t="s">
        <v>134</v>
      </c>
      <c r="E199" s="19" t="s">
        <v>135</v>
      </c>
      <c r="F199" s="159" t="s">
        <v>126</v>
      </c>
      <c r="G199" s="303"/>
      <c r="H199" s="268"/>
      <c r="I199" s="490"/>
      <c r="J199" s="487"/>
      <c r="K199" s="487"/>
      <c r="L199" s="491"/>
      <c r="M199" s="487"/>
      <c r="N199" s="487"/>
      <c r="O199" s="487"/>
      <c r="P199" s="487"/>
      <c r="Q199" s="237"/>
      <c r="R199" s="237"/>
      <c r="S199" s="237"/>
      <c r="T199" s="237"/>
      <c r="U199" s="102"/>
      <c r="V199" s="102"/>
      <c r="W199" s="102"/>
      <c r="X199" s="102"/>
      <c r="Y199" s="102"/>
    </row>
    <row r="200" spans="1:25" ht="14.25" customHeight="1" x14ac:dyDescent="0.2">
      <c r="A200" s="225">
        <v>142</v>
      </c>
      <c r="B200" s="37"/>
      <c r="C200" s="86" t="s">
        <v>283</v>
      </c>
      <c r="D200" s="10"/>
      <c r="E200" s="19"/>
      <c r="F200" s="159"/>
      <c r="G200" s="303"/>
      <c r="H200" s="268"/>
      <c r="I200" s="490"/>
      <c r="J200" s="487"/>
      <c r="K200" s="487"/>
      <c r="L200" s="491"/>
      <c r="M200" s="487"/>
      <c r="N200" s="487"/>
      <c r="O200" s="487"/>
      <c r="P200" s="487"/>
      <c r="Q200" s="237"/>
      <c r="R200" s="237"/>
      <c r="S200" s="237"/>
      <c r="T200" s="237"/>
      <c r="U200" s="102"/>
      <c r="V200" s="102"/>
      <c r="W200" s="102"/>
      <c r="X200" s="102"/>
      <c r="Y200" s="102"/>
    </row>
    <row r="201" spans="1:25" ht="14.25" customHeight="1" x14ac:dyDescent="0.2">
      <c r="A201" s="225">
        <v>143</v>
      </c>
      <c r="B201" s="108"/>
      <c r="C201" s="109"/>
      <c r="D201" s="110" t="s">
        <v>448</v>
      </c>
      <c r="E201" s="19">
        <v>310</v>
      </c>
      <c r="F201" s="159" t="s">
        <v>447</v>
      </c>
      <c r="G201" s="303">
        <f>+G70*'KIPP Assumptions'!$C49</f>
        <v>574563.63959999999</v>
      </c>
      <c r="H201" s="268" t="str">
        <f>"KNOS regional management fee ("&amp;TEXT('KIPP Assumptions'!$C$49,"#.0%")&amp;" of revenue)"</f>
        <v>KNOS regional management fee (12.0% of revenue)</v>
      </c>
      <c r="I201" s="490"/>
      <c r="J201" s="487"/>
      <c r="K201" s="487"/>
      <c r="L201" s="491"/>
      <c r="M201" s="487"/>
      <c r="N201" s="487"/>
      <c r="O201" s="487"/>
      <c r="P201" s="487"/>
      <c r="Q201" s="237"/>
      <c r="R201" s="237"/>
      <c r="S201" s="237"/>
      <c r="T201" s="237"/>
      <c r="U201" s="102"/>
      <c r="V201" s="102"/>
      <c r="W201" s="102"/>
      <c r="X201" s="102"/>
      <c r="Y201" s="102"/>
    </row>
    <row r="202" spans="1:25" ht="14.25" customHeight="1" x14ac:dyDescent="0.2">
      <c r="A202" s="225">
        <v>144</v>
      </c>
      <c r="B202" s="37"/>
      <c r="C202" s="10"/>
      <c r="D202" s="10"/>
      <c r="E202" s="19"/>
      <c r="F202" s="159"/>
      <c r="G202" s="303"/>
      <c r="H202" s="268"/>
      <c r="I202" s="490"/>
      <c r="J202" s="487"/>
      <c r="K202" s="487"/>
      <c r="L202" s="491"/>
      <c r="M202" s="487"/>
      <c r="N202" s="487"/>
      <c r="O202" s="487"/>
      <c r="P202" s="487"/>
      <c r="Q202" s="237"/>
      <c r="R202" s="237"/>
      <c r="S202" s="237"/>
      <c r="T202" s="237"/>
      <c r="U202" s="102"/>
      <c r="V202" s="102"/>
      <c r="W202" s="102"/>
      <c r="X202" s="102"/>
      <c r="Y202" s="102"/>
    </row>
    <row r="203" spans="1:25" ht="15" customHeight="1" x14ac:dyDescent="0.25">
      <c r="A203" s="226">
        <v>145</v>
      </c>
      <c r="B203" s="88" t="s">
        <v>136</v>
      </c>
      <c r="C203" s="52"/>
      <c r="D203" s="52"/>
      <c r="E203" s="50"/>
      <c r="F203" s="163"/>
      <c r="G203" s="306">
        <f>SUM(G192:G202)</f>
        <v>764693.64620000008</v>
      </c>
      <c r="H203" s="271"/>
      <c r="I203" s="490"/>
      <c r="J203" s="487"/>
      <c r="K203" s="487"/>
      <c r="L203" s="491"/>
      <c r="M203" s="487"/>
      <c r="N203" s="487"/>
      <c r="O203" s="487"/>
      <c r="P203" s="487"/>
      <c r="Q203" s="237"/>
      <c r="R203" s="237"/>
      <c r="S203" s="237"/>
      <c r="T203" s="237"/>
      <c r="U203" s="102"/>
      <c r="V203" s="102"/>
      <c r="W203" s="102"/>
      <c r="X203" s="102"/>
      <c r="Y203" s="102"/>
    </row>
    <row r="204" spans="1:25" ht="14.25" customHeight="1" x14ac:dyDescent="0.2">
      <c r="A204" s="225"/>
      <c r="B204" s="37"/>
      <c r="C204" s="10"/>
      <c r="D204" s="10"/>
      <c r="E204" s="19"/>
      <c r="F204" s="159"/>
      <c r="G204" s="303"/>
      <c r="H204" s="268"/>
      <c r="I204" s="490"/>
      <c r="J204" s="487"/>
      <c r="K204" s="487"/>
      <c r="L204" s="491"/>
      <c r="M204" s="487"/>
      <c r="N204" s="487"/>
      <c r="O204" s="487"/>
      <c r="P204" s="487"/>
      <c r="Q204" s="237"/>
      <c r="R204" s="237"/>
      <c r="S204" s="237"/>
      <c r="T204" s="237"/>
      <c r="U204" s="102"/>
      <c r="V204" s="102"/>
      <c r="W204" s="102"/>
      <c r="X204" s="102"/>
      <c r="Y204" s="102"/>
    </row>
    <row r="205" spans="1:25" s="5" customFormat="1" ht="15" customHeight="1" x14ac:dyDescent="0.25">
      <c r="A205" s="225"/>
      <c r="B205" s="89" t="s">
        <v>26</v>
      </c>
      <c r="C205" s="54"/>
      <c r="D205" s="54"/>
      <c r="E205" s="62"/>
      <c r="F205" s="158"/>
      <c r="G205" s="302"/>
      <c r="H205" s="267"/>
      <c r="I205" s="490"/>
      <c r="J205" s="487"/>
      <c r="K205" s="487"/>
      <c r="L205" s="491"/>
      <c r="M205" s="487"/>
      <c r="N205" s="487"/>
      <c r="O205" s="487"/>
      <c r="P205" s="487"/>
      <c r="Q205" s="237"/>
      <c r="R205" s="237"/>
      <c r="S205" s="237"/>
      <c r="T205" s="237"/>
      <c r="U205" s="240"/>
      <c r="V205" s="240"/>
      <c r="W205" s="240"/>
      <c r="X205" s="240"/>
      <c r="Y205" s="240"/>
    </row>
    <row r="206" spans="1:25" ht="14.25" customHeight="1" x14ac:dyDescent="0.2">
      <c r="A206" s="225"/>
      <c r="B206" s="37"/>
      <c r="C206" s="10" t="s">
        <v>76</v>
      </c>
      <c r="D206" s="10"/>
      <c r="E206" s="62"/>
      <c r="F206" s="158"/>
      <c r="G206" s="302"/>
      <c r="H206" s="267"/>
      <c r="I206" s="490"/>
      <c r="J206" s="487"/>
      <c r="K206" s="487"/>
      <c r="L206" s="491"/>
      <c r="M206" s="487"/>
      <c r="N206" s="487"/>
      <c r="O206" s="487"/>
      <c r="P206" s="487"/>
      <c r="Q206" s="237"/>
      <c r="R206" s="237"/>
      <c r="S206" s="237"/>
      <c r="T206" s="237"/>
      <c r="U206" s="102"/>
      <c r="V206" s="102"/>
      <c r="W206" s="102"/>
      <c r="X206" s="102"/>
      <c r="Y206" s="102"/>
    </row>
    <row r="207" spans="1:25" ht="14.25" customHeight="1" x14ac:dyDescent="0.2">
      <c r="A207" s="225">
        <v>146</v>
      </c>
      <c r="B207" s="37"/>
      <c r="C207" s="10"/>
      <c r="D207" s="10" t="s">
        <v>137</v>
      </c>
      <c r="E207" s="19" t="s">
        <v>118</v>
      </c>
      <c r="F207" s="159" t="s">
        <v>138</v>
      </c>
      <c r="G207" s="303">
        <f>+I207*J207</f>
        <v>183150</v>
      </c>
      <c r="H207" s="268" t="s">
        <v>517</v>
      </c>
      <c r="I207" s="490">
        <f>+SUM('KIPP Assumptions'!C$76,'KIPP Assumptions'!C$81)</f>
        <v>2</v>
      </c>
      <c r="J207" s="314">
        <f>+'Yr 1 Operating Statement of Act'!J207*(1+'Operating Statement of Act'!$M$79)</f>
        <v>91575</v>
      </c>
      <c r="K207" s="487"/>
      <c r="L207" s="491"/>
      <c r="M207" s="487"/>
      <c r="N207" s="487"/>
      <c r="O207" s="487"/>
      <c r="P207" s="487"/>
      <c r="Q207" s="237"/>
      <c r="R207" s="237"/>
      <c r="S207" s="237"/>
      <c r="T207" s="237"/>
      <c r="U207" s="102"/>
      <c r="V207" s="102"/>
      <c r="W207" s="102"/>
      <c r="X207" s="102"/>
      <c r="Y207" s="102"/>
    </row>
    <row r="208" spans="1:25" ht="14.25" customHeight="1" x14ac:dyDescent="0.2">
      <c r="A208" s="225">
        <v>147</v>
      </c>
      <c r="B208" s="37"/>
      <c r="C208" s="10"/>
      <c r="D208" s="10" t="s">
        <v>139</v>
      </c>
      <c r="E208" s="19" t="s">
        <v>118</v>
      </c>
      <c r="F208" s="159" t="s">
        <v>140</v>
      </c>
      <c r="G208" s="303">
        <f t="shared" ref="G208:G209" si="5">+I208*J208</f>
        <v>300162.50000000006</v>
      </c>
      <c r="H208" s="268" t="s">
        <v>517</v>
      </c>
      <c r="I208" s="490">
        <f>SUM('KIPP Assumptions'!C77:C80)</f>
        <v>5</v>
      </c>
      <c r="J208" s="314">
        <f>+'Yr 1 Operating Statement of Act'!J208*(1+'Operating Statement of Act'!$M$79)</f>
        <v>60032.500000000007</v>
      </c>
      <c r="K208" s="487"/>
      <c r="L208" s="491"/>
      <c r="M208" s="487"/>
      <c r="N208" s="487"/>
      <c r="O208" s="487"/>
      <c r="P208" s="487"/>
      <c r="Q208" s="237"/>
      <c r="R208" s="237"/>
      <c r="S208" s="237"/>
      <c r="T208" s="237"/>
      <c r="U208" s="102"/>
      <c r="V208" s="102"/>
      <c r="W208" s="102"/>
      <c r="X208" s="102"/>
      <c r="Y208" s="102"/>
    </row>
    <row r="209" spans="1:25" ht="14.25" customHeight="1" x14ac:dyDescent="0.2">
      <c r="A209" s="225">
        <v>148</v>
      </c>
      <c r="B209" s="37"/>
      <c r="C209" s="10"/>
      <c r="D209" s="10" t="s">
        <v>141</v>
      </c>
      <c r="E209" s="19" t="s">
        <v>119</v>
      </c>
      <c r="F209" s="159" t="s">
        <v>142</v>
      </c>
      <c r="G209" s="303">
        <f t="shared" si="5"/>
        <v>99715</v>
      </c>
      <c r="H209" s="268" t="s">
        <v>517</v>
      </c>
      <c r="I209" s="490">
        <f>+'KIPP Assumptions'!C$94</f>
        <v>2</v>
      </c>
      <c r="J209" s="314">
        <f>+'Yr 1 Operating Statement of Act'!J209*(1+'Operating Statement of Act'!$M$79)</f>
        <v>49857.5</v>
      </c>
      <c r="K209" s="487"/>
      <c r="L209" s="491"/>
      <c r="M209" s="487"/>
      <c r="N209" s="487"/>
      <c r="O209" s="487"/>
      <c r="P209" s="487"/>
      <c r="Q209" s="237"/>
      <c r="R209" s="237"/>
      <c r="S209" s="237"/>
      <c r="T209" s="237"/>
      <c r="U209" s="102"/>
      <c r="V209" s="102"/>
      <c r="W209" s="102"/>
      <c r="X209" s="102"/>
      <c r="Y209" s="102"/>
    </row>
    <row r="210" spans="1:25" x14ac:dyDescent="0.2">
      <c r="A210" s="225">
        <v>149</v>
      </c>
      <c r="B210" s="37"/>
      <c r="C210" s="10" t="s">
        <v>83</v>
      </c>
      <c r="D210" s="10"/>
      <c r="E210" s="19" t="s">
        <v>84</v>
      </c>
      <c r="F210" s="159" t="s">
        <v>142</v>
      </c>
      <c r="G210" s="303">
        <v>3468</v>
      </c>
      <c r="H210" s="268" t="s">
        <v>467</v>
      </c>
      <c r="I210" s="487"/>
      <c r="J210" s="491"/>
      <c r="K210" s="491"/>
      <c r="L210" s="491"/>
      <c r="M210" s="487"/>
      <c r="N210" s="487"/>
      <c r="O210" s="487"/>
      <c r="P210" s="487"/>
      <c r="Q210" s="237"/>
      <c r="R210" s="237"/>
      <c r="S210" s="237"/>
      <c r="T210" s="237"/>
      <c r="U210" s="102"/>
      <c r="V210" s="102"/>
      <c r="W210" s="102"/>
      <c r="X210" s="102"/>
      <c r="Y210" s="102"/>
    </row>
    <row r="211" spans="1:25" ht="14.25" customHeight="1" x14ac:dyDescent="0.2">
      <c r="A211" s="225">
        <v>150</v>
      </c>
      <c r="B211" s="37"/>
      <c r="C211" s="10" t="s">
        <v>85</v>
      </c>
      <c r="D211" s="10"/>
      <c r="E211" s="19" t="s">
        <v>86</v>
      </c>
      <c r="F211" s="159" t="s">
        <v>142</v>
      </c>
      <c r="G211" s="303"/>
      <c r="H211" s="268"/>
      <c r="I211" s="487"/>
      <c r="J211" s="487"/>
      <c r="K211" s="487"/>
      <c r="L211" s="491"/>
      <c r="M211" s="487"/>
      <c r="N211" s="487"/>
      <c r="O211" s="487"/>
      <c r="P211" s="487"/>
      <c r="Q211" s="237"/>
      <c r="R211" s="237"/>
      <c r="S211" s="237"/>
      <c r="T211" s="237"/>
      <c r="U211" s="102"/>
      <c r="V211" s="102"/>
      <c r="W211" s="102"/>
      <c r="X211" s="102"/>
      <c r="Y211" s="102"/>
    </row>
    <row r="212" spans="1:25" ht="14.25" customHeight="1" x14ac:dyDescent="0.2">
      <c r="A212" s="225">
        <v>151</v>
      </c>
      <c r="B212" s="37"/>
      <c r="C212" s="10" t="s">
        <v>111</v>
      </c>
      <c r="D212" s="10"/>
      <c r="E212" s="19" t="s">
        <v>112</v>
      </c>
      <c r="F212" s="159" t="s">
        <v>142</v>
      </c>
      <c r="G212" s="303"/>
      <c r="H212" s="268"/>
      <c r="I212" s="487"/>
      <c r="J212" s="487"/>
      <c r="K212" s="487"/>
      <c r="L212" s="491"/>
      <c r="M212" s="487"/>
      <c r="N212" s="487"/>
      <c r="O212" s="487"/>
      <c r="P212" s="487"/>
      <c r="Q212" s="237"/>
      <c r="R212" s="237"/>
      <c r="S212" s="237"/>
      <c r="T212" s="237"/>
      <c r="U212" s="102"/>
      <c r="V212" s="102"/>
      <c r="W212" s="102"/>
      <c r="X212" s="102"/>
      <c r="Y212" s="102"/>
    </row>
    <row r="213" spans="1:25" ht="14.25" customHeight="1" x14ac:dyDescent="0.2">
      <c r="A213" s="225">
        <v>152</v>
      </c>
      <c r="B213" s="37"/>
      <c r="C213" s="10" t="s">
        <v>143</v>
      </c>
      <c r="D213" s="10"/>
      <c r="E213" s="19" t="s">
        <v>144</v>
      </c>
      <c r="F213" s="159" t="s">
        <v>142</v>
      </c>
      <c r="G213" s="303"/>
      <c r="H213" s="268"/>
      <c r="I213" s="487"/>
      <c r="J213" s="487"/>
      <c r="K213" s="487"/>
      <c r="L213" s="491"/>
      <c r="M213" s="487"/>
      <c r="N213" s="487"/>
      <c r="O213" s="487"/>
      <c r="P213" s="487"/>
      <c r="Q213" s="237"/>
      <c r="R213" s="237"/>
      <c r="S213" s="237"/>
      <c r="T213" s="237"/>
      <c r="U213" s="102"/>
      <c r="V213" s="102"/>
      <c r="W213" s="102"/>
      <c r="X213" s="102"/>
      <c r="Y213" s="102"/>
    </row>
    <row r="214" spans="1:25" x14ac:dyDescent="0.2">
      <c r="A214" s="225">
        <v>153</v>
      </c>
      <c r="B214" s="37"/>
      <c r="C214" s="10" t="s">
        <v>87</v>
      </c>
      <c r="D214" s="10"/>
      <c r="E214" s="19" t="s">
        <v>88</v>
      </c>
      <c r="F214" s="159" t="s">
        <v>142</v>
      </c>
      <c r="G214" s="303">
        <v>5100</v>
      </c>
      <c r="H214" s="268" t="s">
        <v>515</v>
      </c>
      <c r="I214" s="487"/>
      <c r="J214" s="491"/>
      <c r="K214" s="491"/>
      <c r="L214" s="491"/>
      <c r="M214" s="487"/>
      <c r="N214" s="487"/>
      <c r="O214" s="487"/>
      <c r="P214" s="487"/>
      <c r="Q214" s="237"/>
      <c r="R214" s="237"/>
      <c r="S214" s="237"/>
      <c r="T214" s="237"/>
      <c r="U214" s="102"/>
      <c r="V214" s="102"/>
      <c r="W214" s="102"/>
      <c r="X214" s="102"/>
      <c r="Y214" s="102"/>
    </row>
    <row r="215" spans="1:25" x14ac:dyDescent="0.2">
      <c r="A215" s="225">
        <v>154</v>
      </c>
      <c r="B215" s="37"/>
      <c r="C215" s="10" t="s">
        <v>110</v>
      </c>
      <c r="D215" s="10"/>
      <c r="E215" s="19" t="s">
        <v>90</v>
      </c>
      <c r="F215" s="159" t="s">
        <v>142</v>
      </c>
      <c r="G215" s="303">
        <v>44574</v>
      </c>
      <c r="H215" s="268" t="s">
        <v>435</v>
      </c>
      <c r="I215" s="487"/>
      <c r="J215" s="491"/>
      <c r="K215" s="487"/>
      <c r="L215" s="491"/>
      <c r="M215" s="487"/>
      <c r="N215" s="487"/>
      <c r="O215" s="487"/>
      <c r="P215" s="487"/>
      <c r="Q215" s="237"/>
      <c r="R215" s="237"/>
      <c r="S215" s="237"/>
      <c r="T215" s="237"/>
      <c r="U215" s="102"/>
      <c r="V215" s="102"/>
      <c r="W215" s="102"/>
      <c r="X215" s="102"/>
      <c r="Y215" s="102"/>
    </row>
    <row r="216" spans="1:25" ht="14.25" customHeight="1" x14ac:dyDescent="0.2">
      <c r="A216" s="225">
        <v>155</v>
      </c>
      <c r="B216" s="37"/>
      <c r="C216" s="10" t="s">
        <v>242</v>
      </c>
      <c r="D216" s="10"/>
      <c r="E216" s="19" t="s">
        <v>243</v>
      </c>
      <c r="F216" s="159" t="s">
        <v>142</v>
      </c>
      <c r="G216" s="303"/>
      <c r="H216" s="268"/>
      <c r="I216" s="487"/>
      <c r="J216" s="487"/>
      <c r="K216" s="487"/>
      <c r="L216" s="491"/>
      <c r="M216" s="487"/>
      <c r="N216" s="487"/>
      <c r="O216" s="487"/>
      <c r="P216" s="487"/>
      <c r="Q216" s="237"/>
      <c r="R216" s="237"/>
      <c r="S216" s="237"/>
      <c r="T216" s="237"/>
      <c r="U216" s="102"/>
      <c r="V216" s="102"/>
      <c r="W216" s="102"/>
      <c r="X216" s="102"/>
      <c r="Y216" s="102"/>
    </row>
    <row r="217" spans="1:25" x14ac:dyDescent="0.2">
      <c r="A217" s="225">
        <v>156</v>
      </c>
      <c r="B217" s="37"/>
      <c r="C217" s="10" t="s">
        <v>296</v>
      </c>
      <c r="D217" s="10"/>
      <c r="E217" s="19" t="s">
        <v>116</v>
      </c>
      <c r="F217" s="159" t="s">
        <v>142</v>
      </c>
      <c r="G217" s="303">
        <v>2142</v>
      </c>
      <c r="H217" s="268" t="s">
        <v>428</v>
      </c>
      <c r="I217" s="487"/>
      <c r="J217" s="491"/>
      <c r="K217" s="487"/>
      <c r="L217" s="491"/>
      <c r="M217" s="487"/>
      <c r="N217" s="487"/>
      <c r="O217" s="487"/>
      <c r="P217" s="487"/>
      <c r="Q217" s="237"/>
      <c r="R217" s="237"/>
      <c r="S217" s="237"/>
      <c r="T217" s="237"/>
      <c r="U217" s="102"/>
      <c r="V217" s="102"/>
      <c r="W217" s="102"/>
      <c r="X217" s="102"/>
      <c r="Y217" s="102"/>
    </row>
    <row r="218" spans="1:25" ht="14.25" customHeight="1" x14ac:dyDescent="0.2">
      <c r="A218" s="225">
        <v>157</v>
      </c>
      <c r="B218" s="37"/>
      <c r="C218" s="10" t="s">
        <v>95</v>
      </c>
      <c r="D218" s="10"/>
      <c r="E218" s="19" t="s">
        <v>96</v>
      </c>
      <c r="F218" s="159" t="s">
        <v>142</v>
      </c>
      <c r="G218" s="303">
        <f>+G70*0.01</f>
        <v>47880.3033</v>
      </c>
      <c r="H218" s="268" t="s">
        <v>437</v>
      </c>
      <c r="I218" s="487"/>
      <c r="J218" s="487"/>
      <c r="K218" s="487"/>
      <c r="L218" s="491"/>
      <c r="M218" s="487"/>
      <c r="N218" s="500"/>
      <c r="O218" s="487"/>
      <c r="P218" s="487"/>
      <c r="Q218" s="237"/>
      <c r="R218" s="237"/>
      <c r="S218" s="237"/>
      <c r="T218" s="237"/>
      <c r="U218" s="102"/>
      <c r="V218" s="102"/>
      <c r="W218" s="102"/>
      <c r="X218" s="102"/>
      <c r="Y218" s="102"/>
    </row>
    <row r="219" spans="1:25" ht="14.25" customHeight="1" x14ac:dyDescent="0.2">
      <c r="A219" s="225">
        <v>158</v>
      </c>
      <c r="B219" s="37"/>
      <c r="C219" s="10" t="s">
        <v>295</v>
      </c>
      <c r="D219" s="10"/>
      <c r="E219" s="19" t="s">
        <v>97</v>
      </c>
      <c r="F219" s="159" t="s">
        <v>11</v>
      </c>
      <c r="G219" s="303">
        <f>+SUM(G$207:G$209)*$I219</f>
        <v>41262.800039430993</v>
      </c>
      <c r="H219" s="268"/>
      <c r="I219" s="492">
        <f>'KIPP Assumptions'!$B$105+'KIPP Assumptions'!$B$106+'KIPP Assumptions'!$B$107+'KIPP Assumptions'!$B$108+'KIPP Assumptions'!$B$109</f>
        <v>7.0773334087038758E-2</v>
      </c>
      <c r="J219" s="487"/>
      <c r="K219" s="487"/>
      <c r="L219" s="491"/>
      <c r="M219" s="487"/>
      <c r="N219" s="487"/>
      <c r="O219" s="487"/>
      <c r="P219" s="487"/>
      <c r="Q219" s="237"/>
      <c r="R219" s="237"/>
      <c r="S219" s="237"/>
      <c r="T219" s="237"/>
      <c r="U219" s="102"/>
      <c r="V219" s="102"/>
      <c r="W219" s="102"/>
      <c r="X219" s="102"/>
      <c r="Y219" s="102"/>
    </row>
    <row r="220" spans="1:25" ht="14.25" customHeight="1" x14ac:dyDescent="0.2">
      <c r="A220" s="225">
        <v>159</v>
      </c>
      <c r="B220" s="37"/>
      <c r="C220" s="10" t="s">
        <v>98</v>
      </c>
      <c r="D220" s="10"/>
      <c r="E220" s="19" t="s">
        <v>99</v>
      </c>
      <c r="F220" s="159" t="s">
        <v>11</v>
      </c>
      <c r="G220" s="303">
        <f t="shared" ref="G220:G223" si="6">+SUM(G$207:G$209)*$I220</f>
        <v>36147.705000000002</v>
      </c>
      <c r="H220" s="268"/>
      <c r="I220" s="492">
        <f>'KIPP Assumptions'!$B$111</f>
        <v>6.2E-2</v>
      </c>
      <c r="J220" s="487"/>
      <c r="K220" s="487"/>
      <c r="L220" s="491"/>
      <c r="M220" s="487"/>
      <c r="N220" s="487"/>
      <c r="O220" s="487"/>
      <c r="P220" s="487"/>
      <c r="Q220" s="237"/>
      <c r="R220" s="237"/>
      <c r="S220" s="237"/>
      <c r="T220" s="237"/>
      <c r="U220" s="102"/>
      <c r="V220" s="102"/>
      <c r="W220" s="102"/>
      <c r="X220" s="102"/>
      <c r="Y220" s="102"/>
    </row>
    <row r="221" spans="1:25" ht="14.25" customHeight="1" x14ac:dyDescent="0.2">
      <c r="A221" s="225">
        <v>160</v>
      </c>
      <c r="B221" s="37"/>
      <c r="C221" s="10" t="s">
        <v>100</v>
      </c>
      <c r="D221" s="10"/>
      <c r="E221" s="19" t="s">
        <v>101</v>
      </c>
      <c r="F221" s="159" t="s">
        <v>11</v>
      </c>
      <c r="G221" s="303">
        <f t="shared" si="6"/>
        <v>8453.8987500000003</v>
      </c>
      <c r="H221" s="268"/>
      <c r="I221" s="492">
        <f>'KIPP Assumptions'!$B$110</f>
        <v>1.4500000000000001E-2</v>
      </c>
      <c r="J221" s="487"/>
      <c r="K221" s="487"/>
      <c r="L221" s="491"/>
      <c r="M221" s="487"/>
      <c r="N221" s="487"/>
      <c r="O221" s="487"/>
      <c r="P221" s="487"/>
      <c r="Q221" s="237"/>
      <c r="R221" s="237"/>
      <c r="S221" s="237"/>
      <c r="T221" s="237"/>
      <c r="U221" s="102"/>
      <c r="V221" s="102"/>
      <c r="W221" s="102"/>
      <c r="X221" s="102"/>
      <c r="Y221" s="102"/>
    </row>
    <row r="222" spans="1:25" ht="14.25" customHeight="1" x14ac:dyDescent="0.2">
      <c r="A222" s="225">
        <v>161</v>
      </c>
      <c r="B222" s="37"/>
      <c r="C222" s="10" t="s">
        <v>219</v>
      </c>
      <c r="D222" s="10"/>
      <c r="E222" s="19" t="s">
        <v>220</v>
      </c>
      <c r="F222" s="159" t="s">
        <v>11</v>
      </c>
      <c r="G222" s="303">
        <f t="shared" si="6"/>
        <v>18732.14116665622</v>
      </c>
      <c r="H222" s="268"/>
      <c r="I222" s="492">
        <f>+'KIPP Assumptions'!$B$113</f>
        <v>3.21290868212155E-2</v>
      </c>
      <c r="J222" s="487"/>
      <c r="K222" s="487"/>
      <c r="L222" s="491"/>
      <c r="M222" s="487"/>
      <c r="N222" s="487"/>
      <c r="O222" s="487"/>
      <c r="P222" s="487"/>
      <c r="Q222" s="237"/>
      <c r="R222" s="237"/>
      <c r="S222" s="237"/>
      <c r="T222" s="237"/>
      <c r="U222" s="102"/>
      <c r="V222" s="102"/>
      <c r="W222" s="102"/>
      <c r="X222" s="102"/>
      <c r="Y222" s="102"/>
    </row>
    <row r="223" spans="1:25" ht="14.25" customHeight="1" x14ac:dyDescent="0.2">
      <c r="A223" s="225">
        <v>162</v>
      </c>
      <c r="B223" s="37"/>
      <c r="C223" s="10" t="s">
        <v>102</v>
      </c>
      <c r="D223" s="10"/>
      <c r="E223" s="19" t="s">
        <v>103</v>
      </c>
      <c r="F223" s="159" t="s">
        <v>11</v>
      </c>
      <c r="G223" s="303">
        <f t="shared" si="6"/>
        <v>583.02750000000003</v>
      </c>
      <c r="H223" s="268"/>
      <c r="I223" s="492">
        <f>+'KIPP Assumptions'!$B$112</f>
        <v>1E-3</v>
      </c>
      <c r="J223" s="487"/>
      <c r="K223" s="487"/>
      <c r="L223" s="491"/>
      <c r="M223" s="487"/>
      <c r="N223" s="487"/>
      <c r="O223" s="487"/>
      <c r="P223" s="487"/>
      <c r="Q223" s="237"/>
      <c r="R223" s="237"/>
      <c r="S223" s="237"/>
      <c r="T223" s="237"/>
      <c r="U223" s="102"/>
      <c r="V223" s="102"/>
      <c r="W223" s="102"/>
      <c r="X223" s="102"/>
      <c r="Y223" s="102"/>
    </row>
    <row r="224" spans="1:25" ht="14.25" customHeight="1" x14ac:dyDescent="0.2">
      <c r="A224" s="225">
        <v>163</v>
      </c>
      <c r="B224" s="37"/>
      <c r="C224" s="10" t="s">
        <v>104</v>
      </c>
      <c r="D224" s="10"/>
      <c r="E224" s="19" t="s">
        <v>105</v>
      </c>
      <c r="F224" s="159" t="s">
        <v>11</v>
      </c>
      <c r="G224" s="303"/>
      <c r="H224" s="268"/>
      <c r="I224" s="487"/>
      <c r="J224" s="487"/>
      <c r="K224" s="487"/>
      <c r="L224" s="491"/>
      <c r="M224" s="487"/>
      <c r="N224" s="487"/>
      <c r="O224" s="487"/>
      <c r="P224" s="487"/>
      <c r="Q224" s="237"/>
      <c r="R224" s="237"/>
      <c r="S224" s="237"/>
      <c r="T224" s="237"/>
      <c r="U224" s="102"/>
      <c r="V224" s="102"/>
      <c r="W224" s="102"/>
      <c r="X224" s="102"/>
      <c r="Y224" s="102"/>
    </row>
    <row r="225" spans="1:25" ht="14.25" customHeight="1" x14ac:dyDescent="0.2">
      <c r="A225" s="225">
        <v>164</v>
      </c>
      <c r="B225" s="37"/>
      <c r="C225" s="86" t="s">
        <v>283</v>
      </c>
      <c r="D225" s="10"/>
      <c r="E225" s="19"/>
      <c r="F225" s="159"/>
      <c r="G225" s="303"/>
      <c r="H225" s="268"/>
      <c r="I225" s="487"/>
      <c r="J225" s="487"/>
      <c r="K225" s="487"/>
      <c r="L225" s="491"/>
      <c r="M225" s="487"/>
      <c r="N225" s="487"/>
      <c r="O225" s="487"/>
      <c r="P225" s="487"/>
      <c r="Q225" s="237"/>
      <c r="R225" s="237"/>
      <c r="S225" s="237"/>
      <c r="T225" s="237"/>
      <c r="U225" s="102"/>
      <c r="V225" s="102"/>
      <c r="W225" s="102"/>
      <c r="X225" s="102"/>
      <c r="Y225" s="102"/>
    </row>
    <row r="226" spans="1:25" ht="14.25" customHeight="1" x14ac:dyDescent="0.2">
      <c r="A226" s="225">
        <v>165</v>
      </c>
      <c r="B226" s="37"/>
      <c r="C226" s="86"/>
      <c r="D226" s="10"/>
      <c r="E226" s="19"/>
      <c r="F226" s="159"/>
      <c r="G226" s="303"/>
      <c r="H226" s="268"/>
      <c r="I226" s="487"/>
      <c r="J226" s="487"/>
      <c r="K226" s="487"/>
      <c r="L226" s="491"/>
      <c r="M226" s="487"/>
      <c r="N226" s="487"/>
      <c r="O226" s="487"/>
      <c r="P226" s="487"/>
      <c r="Q226" s="237"/>
      <c r="R226" s="237"/>
      <c r="S226" s="237"/>
      <c r="T226" s="237"/>
      <c r="U226" s="102"/>
      <c r="V226" s="102"/>
      <c r="W226" s="102"/>
      <c r="X226" s="102"/>
      <c r="Y226" s="102"/>
    </row>
    <row r="227" spans="1:25" ht="14.25" customHeight="1" x14ac:dyDescent="0.2">
      <c r="A227" s="225">
        <v>166</v>
      </c>
      <c r="B227" s="84"/>
      <c r="D227" s="14"/>
      <c r="E227" s="15"/>
      <c r="F227" s="167"/>
      <c r="G227" s="315"/>
      <c r="H227" s="283"/>
      <c r="I227" s="487"/>
      <c r="J227" s="487"/>
      <c r="K227" s="487"/>
      <c r="L227" s="491"/>
      <c r="M227" s="487"/>
      <c r="N227" s="487"/>
      <c r="O227" s="487"/>
      <c r="P227" s="487"/>
      <c r="Q227" s="237"/>
      <c r="R227" s="237"/>
      <c r="S227" s="237"/>
      <c r="T227" s="237"/>
      <c r="U227" s="102"/>
      <c r="V227" s="102"/>
      <c r="W227" s="102"/>
      <c r="X227" s="102"/>
      <c r="Y227" s="102"/>
    </row>
    <row r="228" spans="1:25" ht="15" customHeight="1" x14ac:dyDescent="0.25">
      <c r="A228" s="226">
        <v>167</v>
      </c>
      <c r="B228" s="88" t="s">
        <v>145</v>
      </c>
      <c r="C228" s="52"/>
      <c r="D228" s="52"/>
      <c r="E228" s="50"/>
      <c r="F228" s="163"/>
      <c r="G228" s="306">
        <f>SUM(G206:G227)</f>
        <v>791371.37575608713</v>
      </c>
      <c r="H228" s="271"/>
      <c r="I228" s="487"/>
      <c r="J228" s="487"/>
      <c r="K228" s="487"/>
      <c r="L228" s="491"/>
      <c r="M228" s="487"/>
      <c r="N228" s="487"/>
      <c r="O228" s="487"/>
      <c r="P228" s="487"/>
      <c r="Q228" s="237"/>
      <c r="R228" s="237"/>
      <c r="S228" s="237"/>
      <c r="T228" s="237"/>
      <c r="U228" s="102"/>
      <c r="V228" s="102"/>
      <c r="W228" s="102"/>
      <c r="X228" s="102"/>
      <c r="Y228" s="102"/>
    </row>
    <row r="229" spans="1:25" ht="6.75" customHeight="1" x14ac:dyDescent="0.2">
      <c r="A229" s="230"/>
      <c r="B229" s="36"/>
      <c r="C229" s="13"/>
      <c r="D229" s="13"/>
      <c r="E229" s="17"/>
      <c r="F229" s="171"/>
      <c r="G229" s="319"/>
      <c r="H229" s="288"/>
      <c r="I229" s="487"/>
      <c r="J229" s="487"/>
      <c r="K229" s="487"/>
      <c r="L229" s="491"/>
      <c r="M229" s="487"/>
      <c r="N229" s="487"/>
      <c r="O229" s="487"/>
      <c r="P229" s="487"/>
      <c r="Q229" s="237"/>
      <c r="R229" s="237"/>
      <c r="S229" s="237"/>
      <c r="T229" s="237"/>
      <c r="U229" s="102"/>
      <c r="V229" s="102"/>
      <c r="W229" s="102"/>
      <c r="X229" s="102"/>
      <c r="Y229" s="102"/>
    </row>
    <row r="230" spans="1:25" s="5" customFormat="1" ht="15" customHeight="1" x14ac:dyDescent="0.25">
      <c r="A230" s="225"/>
      <c r="B230" s="89" t="s">
        <v>27</v>
      </c>
      <c r="C230" s="54"/>
      <c r="D230" s="54"/>
      <c r="E230" s="64"/>
      <c r="F230" s="168"/>
      <c r="G230" s="316"/>
      <c r="H230" s="284"/>
      <c r="I230" s="489"/>
      <c r="J230" s="489"/>
      <c r="K230" s="489"/>
      <c r="L230" s="491"/>
      <c r="M230" s="489"/>
      <c r="N230" s="489"/>
      <c r="O230" s="489"/>
      <c r="P230" s="489"/>
      <c r="Q230" s="244"/>
      <c r="R230" s="244"/>
      <c r="S230" s="244"/>
      <c r="T230" s="244"/>
      <c r="U230" s="240"/>
      <c r="V230" s="240"/>
      <c r="W230" s="240"/>
      <c r="X230" s="240"/>
      <c r="Y230" s="240"/>
    </row>
    <row r="231" spans="1:25" ht="14.25" customHeight="1" x14ac:dyDescent="0.2">
      <c r="A231" s="225"/>
      <c r="B231" s="37">
        <v>90</v>
      </c>
      <c r="C231" s="10" t="s">
        <v>146</v>
      </c>
      <c r="D231" s="10"/>
      <c r="E231" s="68"/>
      <c r="F231" s="172"/>
      <c r="G231" s="320"/>
      <c r="H231" s="289"/>
      <c r="I231" s="487"/>
      <c r="J231" s="487"/>
      <c r="K231" s="487"/>
      <c r="L231" s="491"/>
      <c r="M231" s="487"/>
      <c r="N231" s="487"/>
      <c r="O231" s="487"/>
      <c r="P231" s="487"/>
      <c r="Q231" s="237"/>
      <c r="R231" s="237"/>
      <c r="S231" s="237"/>
      <c r="T231" s="237"/>
      <c r="U231" s="102"/>
      <c r="V231" s="102"/>
      <c r="W231" s="102"/>
      <c r="X231" s="102"/>
      <c r="Y231" s="102"/>
    </row>
    <row r="232" spans="1:25" ht="14.25" customHeight="1" x14ac:dyDescent="0.2">
      <c r="A232" s="225"/>
      <c r="B232" s="37"/>
      <c r="C232" s="10" t="s">
        <v>147</v>
      </c>
      <c r="D232" s="10"/>
      <c r="E232" s="72"/>
      <c r="F232" s="157"/>
      <c r="G232" s="301"/>
      <c r="H232" s="266"/>
      <c r="I232" s="487"/>
      <c r="J232" s="487"/>
      <c r="K232" s="487"/>
      <c r="L232" s="491"/>
      <c r="M232" s="487"/>
      <c r="N232" s="487"/>
      <c r="O232" s="487"/>
      <c r="P232" s="487"/>
      <c r="Q232" s="237"/>
      <c r="R232" s="237"/>
      <c r="S232" s="237"/>
      <c r="T232" s="237"/>
      <c r="U232" s="102"/>
      <c r="V232" s="102"/>
      <c r="W232" s="102"/>
      <c r="X232" s="102"/>
      <c r="Y232" s="102"/>
    </row>
    <row r="233" spans="1:25" ht="14.25" customHeight="1" x14ac:dyDescent="0.2">
      <c r="A233" s="225">
        <v>168</v>
      </c>
      <c r="B233" s="37"/>
      <c r="C233" s="10" t="s">
        <v>182</v>
      </c>
      <c r="D233" s="10" t="s">
        <v>76</v>
      </c>
      <c r="E233" s="19" t="s">
        <v>222</v>
      </c>
      <c r="F233" s="159" t="s">
        <v>244</v>
      </c>
      <c r="G233" s="303"/>
      <c r="H233" s="268"/>
      <c r="I233" s="487"/>
      <c r="J233" s="487"/>
      <c r="K233" s="487"/>
      <c r="L233" s="491"/>
      <c r="M233" s="487"/>
      <c r="N233" s="487"/>
      <c r="O233" s="487"/>
      <c r="P233" s="487"/>
      <c r="Q233" s="237"/>
      <c r="R233" s="237"/>
      <c r="S233" s="237"/>
      <c r="T233" s="237"/>
      <c r="U233" s="102"/>
      <c r="V233" s="102"/>
      <c r="W233" s="102"/>
      <c r="X233" s="102"/>
      <c r="Y233" s="102"/>
    </row>
    <row r="234" spans="1:25" ht="14.25" customHeight="1" x14ac:dyDescent="0.2">
      <c r="A234" s="225">
        <v>169</v>
      </c>
      <c r="B234" s="37"/>
      <c r="C234" s="10"/>
      <c r="D234" s="10" t="s">
        <v>83</v>
      </c>
      <c r="E234" s="19" t="s">
        <v>84</v>
      </c>
      <c r="F234" s="159" t="s">
        <v>148</v>
      </c>
      <c r="G234" s="303">
        <v>44275.576036866361</v>
      </c>
      <c r="H234" s="268" t="s">
        <v>521</v>
      </c>
      <c r="I234" s="487"/>
      <c r="J234" s="491"/>
      <c r="K234" s="487"/>
      <c r="L234" s="491"/>
      <c r="M234" s="487"/>
      <c r="N234" s="500"/>
      <c r="O234" s="487"/>
      <c r="P234" s="487"/>
      <c r="Q234" s="237"/>
      <c r="R234" s="237"/>
      <c r="S234" s="237"/>
      <c r="T234" s="237"/>
      <c r="U234" s="102"/>
      <c r="V234" s="102"/>
      <c r="W234" s="102"/>
      <c r="X234" s="102"/>
      <c r="Y234" s="102"/>
    </row>
    <row r="235" spans="1:25" ht="14.25" customHeight="1" x14ac:dyDescent="0.2">
      <c r="A235" s="225">
        <v>170</v>
      </c>
      <c r="B235" s="37"/>
      <c r="C235" s="10"/>
      <c r="D235" s="10" t="s">
        <v>297</v>
      </c>
      <c r="E235" s="19" t="s">
        <v>149</v>
      </c>
      <c r="F235" s="159" t="s">
        <v>148</v>
      </c>
      <c r="G235" s="303"/>
      <c r="H235" s="268"/>
      <c r="I235" s="487"/>
      <c r="J235" s="487"/>
      <c r="K235" s="487"/>
      <c r="L235" s="491"/>
      <c r="M235" s="487"/>
      <c r="N235" s="491"/>
      <c r="O235" s="487"/>
      <c r="P235" s="487"/>
      <c r="Q235" s="237"/>
      <c r="R235" s="237"/>
      <c r="S235" s="237"/>
      <c r="T235" s="237"/>
      <c r="U235" s="102"/>
      <c r="V235" s="102"/>
      <c r="W235" s="102"/>
      <c r="X235" s="102"/>
      <c r="Y235" s="102"/>
    </row>
    <row r="236" spans="1:25" ht="14.25" customHeight="1" x14ac:dyDescent="0.2">
      <c r="A236" s="225">
        <v>171</v>
      </c>
      <c r="B236" s="37"/>
      <c r="C236" s="10"/>
      <c r="D236" s="10" t="s">
        <v>85</v>
      </c>
      <c r="E236" s="19" t="s">
        <v>86</v>
      </c>
      <c r="F236" s="159" t="s">
        <v>148</v>
      </c>
      <c r="G236" s="303"/>
      <c r="H236" s="268"/>
      <c r="I236" s="487"/>
      <c r="J236" s="487"/>
      <c r="K236" s="487"/>
      <c r="L236" s="491"/>
      <c r="M236" s="487"/>
      <c r="N236" s="491"/>
      <c r="O236" s="487"/>
      <c r="P236" s="487"/>
      <c r="Q236" s="237"/>
      <c r="R236" s="237"/>
      <c r="S236" s="237"/>
      <c r="T236" s="237"/>
      <c r="U236" s="102"/>
      <c r="V236" s="102"/>
      <c r="W236" s="102"/>
      <c r="X236" s="102"/>
      <c r="Y236" s="102"/>
    </row>
    <row r="237" spans="1:25" ht="14.25" customHeight="1" x14ac:dyDescent="0.2">
      <c r="A237" s="225">
        <v>172</v>
      </c>
      <c r="B237" s="37"/>
      <c r="C237" s="10"/>
      <c r="D237" s="10" t="s">
        <v>111</v>
      </c>
      <c r="E237" s="19" t="s">
        <v>112</v>
      </c>
      <c r="F237" s="159" t="s">
        <v>148</v>
      </c>
      <c r="G237" s="303"/>
      <c r="H237" s="268"/>
      <c r="I237" s="487"/>
      <c r="J237" s="487"/>
      <c r="K237" s="487"/>
      <c r="L237" s="491"/>
      <c r="M237" s="487"/>
      <c r="N237" s="487"/>
      <c r="O237" s="487"/>
      <c r="P237" s="487"/>
      <c r="Q237" s="237"/>
      <c r="R237" s="237"/>
      <c r="S237" s="237"/>
      <c r="T237" s="237"/>
      <c r="U237" s="102"/>
      <c r="V237" s="102"/>
      <c r="W237" s="102"/>
      <c r="X237" s="102"/>
      <c r="Y237" s="102"/>
    </row>
    <row r="238" spans="1:25" ht="14.25" customHeight="1" x14ac:dyDescent="0.2">
      <c r="A238" s="225">
        <v>173</v>
      </c>
      <c r="B238" s="37"/>
      <c r="C238" s="10"/>
      <c r="D238" s="10" t="s">
        <v>150</v>
      </c>
      <c r="E238" s="19" t="s">
        <v>144</v>
      </c>
      <c r="F238" s="159" t="s">
        <v>148</v>
      </c>
      <c r="G238" s="303"/>
      <c r="H238" s="268"/>
      <c r="I238" s="487"/>
      <c r="J238" s="487"/>
      <c r="K238" s="487"/>
      <c r="L238" s="491"/>
      <c r="M238" s="487"/>
      <c r="N238" s="487"/>
      <c r="O238" s="487"/>
      <c r="P238" s="487"/>
      <c r="Q238" s="237"/>
      <c r="R238" s="237"/>
      <c r="S238" s="237"/>
      <c r="T238" s="237"/>
      <c r="U238" s="102"/>
      <c r="V238" s="102"/>
      <c r="W238" s="102"/>
      <c r="X238" s="102"/>
      <c r="Y238" s="102"/>
    </row>
    <row r="239" spans="1:25" ht="14.25" customHeight="1" x14ac:dyDescent="0.2">
      <c r="A239" s="225">
        <v>174</v>
      </c>
      <c r="B239" s="37"/>
      <c r="C239" s="10"/>
      <c r="D239" s="10" t="s">
        <v>131</v>
      </c>
      <c r="E239" s="19" t="s">
        <v>132</v>
      </c>
      <c r="F239" s="159" t="s">
        <v>148</v>
      </c>
      <c r="G239" s="303"/>
      <c r="H239" s="268"/>
      <c r="I239" s="487"/>
      <c r="J239" s="487"/>
      <c r="K239" s="487"/>
      <c r="L239" s="491"/>
      <c r="M239" s="487"/>
      <c r="N239" s="487"/>
      <c r="O239" s="487"/>
      <c r="P239" s="487"/>
      <c r="Q239" s="237"/>
      <c r="R239" s="237"/>
      <c r="S239" s="237"/>
      <c r="T239" s="237"/>
      <c r="U239" s="102"/>
      <c r="V239" s="102"/>
      <c r="W239" s="102"/>
      <c r="X239" s="102"/>
      <c r="Y239" s="102"/>
    </row>
    <row r="240" spans="1:25" ht="14.25" customHeight="1" x14ac:dyDescent="0.2">
      <c r="A240" s="225">
        <v>175</v>
      </c>
      <c r="B240" s="37"/>
      <c r="C240" s="10"/>
      <c r="D240" s="10" t="s">
        <v>87</v>
      </c>
      <c r="E240" s="19" t="s">
        <v>88</v>
      </c>
      <c r="F240" s="159" t="s">
        <v>148</v>
      </c>
      <c r="G240" s="303"/>
      <c r="H240" s="268"/>
      <c r="I240" s="487"/>
      <c r="J240" s="487"/>
      <c r="K240" s="487"/>
      <c r="L240" s="491"/>
      <c r="M240" s="487"/>
      <c r="N240" s="487"/>
      <c r="O240" s="487"/>
      <c r="P240" s="487"/>
      <c r="Q240" s="237"/>
      <c r="R240" s="237"/>
      <c r="S240" s="237"/>
      <c r="T240" s="237"/>
      <c r="U240" s="102"/>
      <c r="V240" s="102"/>
      <c r="W240" s="102"/>
      <c r="X240" s="102"/>
      <c r="Y240" s="102"/>
    </row>
    <row r="241" spans="1:25" ht="14.25" customHeight="1" x14ac:dyDescent="0.2">
      <c r="A241" s="225">
        <v>176</v>
      </c>
      <c r="B241" s="37"/>
      <c r="C241" s="10"/>
      <c r="D241" s="10" t="s">
        <v>110</v>
      </c>
      <c r="E241" s="19" t="s">
        <v>90</v>
      </c>
      <c r="F241" s="159" t="s">
        <v>148</v>
      </c>
      <c r="G241" s="303"/>
      <c r="H241" s="268"/>
      <c r="I241" s="487"/>
      <c r="J241" s="487"/>
      <c r="K241" s="487"/>
      <c r="L241" s="491"/>
      <c r="M241" s="487"/>
      <c r="N241" s="487"/>
      <c r="O241" s="487"/>
      <c r="P241" s="487"/>
      <c r="Q241" s="237"/>
      <c r="R241" s="237"/>
      <c r="S241" s="237"/>
      <c r="T241" s="237"/>
      <c r="U241" s="102"/>
      <c r="V241" s="102"/>
      <c r="W241" s="102"/>
      <c r="X241" s="102"/>
      <c r="Y241" s="102"/>
    </row>
    <row r="242" spans="1:25" ht="14.25" customHeight="1" x14ac:dyDescent="0.2">
      <c r="A242" s="225">
        <v>177</v>
      </c>
      <c r="B242" s="37"/>
      <c r="C242" s="10"/>
      <c r="D242" s="10" t="s">
        <v>93</v>
      </c>
      <c r="E242" s="19" t="s">
        <v>94</v>
      </c>
      <c r="F242" s="159" t="s">
        <v>148</v>
      </c>
      <c r="G242" s="303"/>
      <c r="H242" s="268"/>
      <c r="I242" s="487"/>
      <c r="J242" s="487"/>
      <c r="K242" s="487"/>
      <c r="L242" s="491"/>
      <c r="M242" s="487"/>
      <c r="N242" s="487"/>
      <c r="O242" s="487"/>
      <c r="P242" s="487"/>
      <c r="Q242" s="237"/>
      <c r="R242" s="237"/>
      <c r="S242" s="237"/>
      <c r="T242" s="237"/>
      <c r="U242" s="102"/>
      <c r="V242" s="102"/>
      <c r="W242" s="102"/>
      <c r="X242" s="102"/>
      <c r="Y242" s="102"/>
    </row>
    <row r="243" spans="1:25" ht="14.25" customHeight="1" x14ac:dyDescent="0.2">
      <c r="A243" s="225">
        <v>178</v>
      </c>
      <c r="B243" s="37"/>
      <c r="C243" s="10"/>
      <c r="D243" s="10" t="s">
        <v>151</v>
      </c>
      <c r="E243" s="19" t="s">
        <v>152</v>
      </c>
      <c r="F243" s="159" t="s">
        <v>153</v>
      </c>
      <c r="G243" s="303"/>
      <c r="H243" s="268"/>
      <c r="I243" s="487"/>
      <c r="J243" s="487"/>
      <c r="K243" s="487"/>
      <c r="L243" s="491"/>
      <c r="M243" s="487"/>
      <c r="N243" s="487"/>
      <c r="O243" s="487"/>
      <c r="P243" s="487"/>
      <c r="Q243" s="237"/>
      <c r="R243" s="237"/>
      <c r="S243" s="237"/>
      <c r="T243" s="237"/>
      <c r="U243" s="102"/>
      <c r="V243" s="102"/>
      <c r="W243" s="102"/>
      <c r="X243" s="102"/>
      <c r="Y243" s="102"/>
    </row>
    <row r="244" spans="1:25" ht="14.25" customHeight="1" x14ac:dyDescent="0.2">
      <c r="A244" s="225">
        <v>179</v>
      </c>
      <c r="B244" s="37"/>
      <c r="C244" s="10"/>
      <c r="D244" s="10" t="s">
        <v>95</v>
      </c>
      <c r="E244" s="19" t="s">
        <v>96</v>
      </c>
      <c r="F244" s="159" t="s">
        <v>148</v>
      </c>
      <c r="G244" s="303"/>
      <c r="H244" s="268"/>
      <c r="I244" s="487"/>
      <c r="J244" s="487"/>
      <c r="K244" s="487"/>
      <c r="L244" s="491"/>
      <c r="M244" s="487"/>
      <c r="N244" s="487"/>
      <c r="O244" s="487"/>
      <c r="P244" s="487"/>
      <c r="Q244" s="237"/>
      <c r="R244" s="237"/>
      <c r="S244" s="237"/>
      <c r="T244" s="237"/>
      <c r="U244" s="102"/>
      <c r="V244" s="102"/>
      <c r="W244" s="102"/>
      <c r="X244" s="102"/>
      <c r="Y244" s="102"/>
    </row>
    <row r="245" spans="1:25" ht="14.25" customHeight="1" x14ac:dyDescent="0.2">
      <c r="A245" s="225">
        <v>180</v>
      </c>
      <c r="B245" s="37"/>
      <c r="C245" s="10"/>
      <c r="D245" s="10" t="s">
        <v>295</v>
      </c>
      <c r="E245" s="19" t="s">
        <v>97</v>
      </c>
      <c r="F245" s="159" t="s">
        <v>244</v>
      </c>
      <c r="G245" s="303"/>
      <c r="H245" s="268"/>
      <c r="I245" s="487"/>
      <c r="J245" s="487"/>
      <c r="K245" s="487"/>
      <c r="L245" s="491"/>
      <c r="M245" s="487"/>
      <c r="N245" s="487"/>
      <c r="O245" s="487"/>
      <c r="P245" s="487"/>
      <c r="Q245" s="237"/>
      <c r="R245" s="237"/>
      <c r="S245" s="237"/>
      <c r="T245" s="237"/>
      <c r="U245" s="102"/>
      <c r="V245" s="102"/>
      <c r="W245" s="102"/>
      <c r="X245" s="102"/>
      <c r="Y245" s="102"/>
    </row>
    <row r="246" spans="1:25" ht="14.25" customHeight="1" x14ac:dyDescent="0.2">
      <c r="A246" s="225">
        <v>181</v>
      </c>
      <c r="B246" s="37"/>
      <c r="C246" s="10"/>
      <c r="D246" s="10" t="s">
        <v>98</v>
      </c>
      <c r="E246" s="19" t="s">
        <v>99</v>
      </c>
      <c r="F246" s="159" t="s">
        <v>244</v>
      </c>
      <c r="G246" s="303"/>
      <c r="H246" s="268"/>
      <c r="I246" s="487"/>
      <c r="J246" s="487"/>
      <c r="K246" s="487"/>
      <c r="L246" s="491"/>
      <c r="M246" s="487"/>
      <c r="N246" s="487"/>
      <c r="O246" s="487"/>
      <c r="P246" s="487"/>
      <c r="Q246" s="237"/>
      <c r="R246" s="237"/>
      <c r="S246" s="237"/>
      <c r="T246" s="237"/>
      <c r="U246" s="102"/>
      <c r="V246" s="102"/>
      <c r="W246" s="102"/>
      <c r="X246" s="102"/>
      <c r="Y246" s="102"/>
    </row>
    <row r="247" spans="1:25" ht="14.25" customHeight="1" x14ac:dyDescent="0.2">
      <c r="A247" s="225">
        <v>182</v>
      </c>
      <c r="B247" s="37"/>
      <c r="C247" s="10"/>
      <c r="D247" s="10" t="s">
        <v>100</v>
      </c>
      <c r="E247" s="19" t="s">
        <v>101</v>
      </c>
      <c r="F247" s="159" t="s">
        <v>244</v>
      </c>
      <c r="G247" s="303"/>
      <c r="H247" s="268"/>
      <c r="I247" s="487"/>
      <c r="J247" s="487"/>
      <c r="K247" s="487"/>
      <c r="L247" s="491"/>
      <c r="M247" s="487"/>
      <c r="N247" s="487"/>
      <c r="O247" s="487"/>
      <c r="P247" s="487"/>
      <c r="Q247" s="237"/>
      <c r="R247" s="237"/>
      <c r="S247" s="237"/>
      <c r="T247" s="237"/>
      <c r="U247" s="102"/>
      <c r="V247" s="102"/>
      <c r="W247" s="102"/>
      <c r="X247" s="102"/>
      <c r="Y247" s="102"/>
    </row>
    <row r="248" spans="1:25" ht="14.25" customHeight="1" x14ac:dyDescent="0.2">
      <c r="A248" s="225">
        <v>183</v>
      </c>
      <c r="B248" s="37"/>
      <c r="C248" s="10"/>
      <c r="D248" s="10" t="s">
        <v>219</v>
      </c>
      <c r="E248" s="19" t="s">
        <v>220</v>
      </c>
      <c r="F248" s="159" t="s">
        <v>244</v>
      </c>
      <c r="G248" s="303"/>
      <c r="H248" s="268"/>
      <c r="I248" s="487"/>
      <c r="J248" s="487"/>
      <c r="K248" s="487"/>
      <c r="L248" s="491"/>
      <c r="M248" s="487"/>
      <c r="N248" s="487"/>
      <c r="O248" s="487"/>
      <c r="P248" s="487"/>
      <c r="Q248" s="237"/>
      <c r="R248" s="237"/>
      <c r="S248" s="237"/>
      <c r="T248" s="237"/>
      <c r="U248" s="102"/>
      <c r="V248" s="102"/>
      <c r="W248" s="102"/>
      <c r="X248" s="102"/>
      <c r="Y248" s="102"/>
    </row>
    <row r="249" spans="1:25" ht="14.25" customHeight="1" x14ac:dyDescent="0.2">
      <c r="A249" s="225">
        <v>184</v>
      </c>
      <c r="B249" s="37"/>
      <c r="C249" s="10"/>
      <c r="D249" s="10" t="s">
        <v>102</v>
      </c>
      <c r="E249" s="19" t="s">
        <v>103</v>
      </c>
      <c r="F249" s="159" t="s">
        <v>244</v>
      </c>
      <c r="G249" s="303"/>
      <c r="H249" s="268"/>
      <c r="I249" s="487"/>
      <c r="J249" s="487"/>
      <c r="K249" s="487"/>
      <c r="L249" s="491"/>
      <c r="M249" s="487"/>
      <c r="N249" s="487"/>
      <c r="O249" s="487"/>
      <c r="P249" s="487"/>
      <c r="Q249" s="237"/>
      <c r="R249" s="237"/>
      <c r="S249" s="237"/>
      <c r="T249" s="237"/>
      <c r="U249" s="102"/>
      <c r="V249" s="102"/>
      <c r="W249" s="102"/>
      <c r="X249" s="102"/>
      <c r="Y249" s="102"/>
    </row>
    <row r="250" spans="1:25" ht="14.25" customHeight="1" x14ac:dyDescent="0.2">
      <c r="A250" s="225">
        <v>185</v>
      </c>
      <c r="B250" s="37"/>
      <c r="C250" s="10"/>
      <c r="D250" s="10" t="s">
        <v>104</v>
      </c>
      <c r="E250" s="19" t="s">
        <v>105</v>
      </c>
      <c r="F250" s="159" t="s">
        <v>244</v>
      </c>
      <c r="G250" s="303"/>
      <c r="H250" s="268"/>
      <c r="I250" s="487"/>
      <c r="J250" s="487"/>
      <c r="K250" s="487"/>
      <c r="L250" s="491"/>
      <c r="M250" s="487"/>
      <c r="N250" s="487"/>
      <c r="O250" s="487"/>
      <c r="P250" s="487"/>
      <c r="Q250" s="237"/>
      <c r="R250" s="237"/>
      <c r="S250" s="237"/>
      <c r="T250" s="237"/>
      <c r="U250" s="102"/>
      <c r="V250" s="102"/>
      <c r="W250" s="102"/>
      <c r="X250" s="102"/>
      <c r="Y250" s="102"/>
    </row>
    <row r="251" spans="1:25" ht="14.25" customHeight="1" x14ac:dyDescent="0.2">
      <c r="A251" s="225">
        <v>186</v>
      </c>
      <c r="B251" s="37"/>
      <c r="C251" s="86"/>
      <c r="D251" s="10"/>
      <c r="E251" s="19"/>
      <c r="F251" s="159"/>
      <c r="G251" s="303"/>
      <c r="H251" s="268"/>
      <c r="I251" s="487"/>
      <c r="J251" s="487"/>
      <c r="K251" s="487"/>
      <c r="L251" s="491"/>
      <c r="M251" s="487"/>
      <c r="N251" s="487"/>
      <c r="O251" s="487"/>
      <c r="P251" s="487"/>
      <c r="Q251" s="237"/>
      <c r="R251" s="237"/>
      <c r="S251" s="237"/>
      <c r="T251" s="237"/>
      <c r="U251" s="102"/>
      <c r="V251" s="102"/>
      <c r="W251" s="102"/>
      <c r="X251" s="102"/>
      <c r="Y251" s="102"/>
    </row>
    <row r="252" spans="1:25" ht="14.25" customHeight="1" x14ac:dyDescent="0.2">
      <c r="A252" s="225">
        <v>187</v>
      </c>
      <c r="B252" s="84"/>
      <c r="D252" s="14"/>
      <c r="E252" s="15"/>
      <c r="F252" s="167"/>
      <c r="G252" s="315"/>
      <c r="H252" s="283"/>
      <c r="I252" s="487"/>
      <c r="J252" s="487"/>
      <c r="K252" s="487"/>
      <c r="L252" s="491"/>
      <c r="M252" s="487"/>
      <c r="N252" s="487"/>
      <c r="O252" s="487"/>
      <c r="P252" s="487"/>
      <c r="Q252" s="237"/>
      <c r="R252" s="237"/>
      <c r="S252" s="237"/>
      <c r="T252" s="237"/>
      <c r="U252" s="102"/>
      <c r="V252" s="102"/>
      <c r="W252" s="102"/>
      <c r="X252" s="102"/>
      <c r="Y252" s="102"/>
    </row>
    <row r="253" spans="1:25" ht="14.25" customHeight="1" x14ac:dyDescent="0.2">
      <c r="A253" s="226">
        <v>188</v>
      </c>
      <c r="B253" s="88" t="s">
        <v>154</v>
      </c>
      <c r="C253" s="7"/>
      <c r="D253" s="7"/>
      <c r="E253" s="50"/>
      <c r="F253" s="163"/>
      <c r="G253" s="306">
        <f>SUM(G231:G252)</f>
        <v>44275.576036866361</v>
      </c>
      <c r="H253" s="271"/>
      <c r="I253" s="487"/>
      <c r="J253" s="487"/>
      <c r="K253" s="487"/>
      <c r="L253" s="491"/>
      <c r="M253" s="487"/>
      <c r="N253" s="487"/>
      <c r="O253" s="487"/>
      <c r="P253" s="487"/>
      <c r="Q253" s="237"/>
      <c r="R253" s="237"/>
      <c r="S253" s="237"/>
      <c r="T253" s="237"/>
      <c r="U253" s="102"/>
      <c r="V253" s="102"/>
      <c r="W253" s="102"/>
      <c r="X253" s="102"/>
      <c r="Y253" s="102"/>
    </row>
    <row r="254" spans="1:25" ht="14.25" customHeight="1" x14ac:dyDescent="0.2">
      <c r="A254" s="230"/>
      <c r="B254" s="36"/>
      <c r="C254" s="13"/>
      <c r="D254" s="13"/>
      <c r="E254" s="72"/>
      <c r="F254" s="157"/>
      <c r="G254" s="301"/>
      <c r="H254" s="266"/>
      <c r="I254" s="487"/>
      <c r="J254" s="487"/>
      <c r="K254" s="487"/>
      <c r="L254" s="491"/>
      <c r="M254" s="487"/>
      <c r="N254" s="487"/>
      <c r="O254" s="487"/>
      <c r="P254" s="487"/>
      <c r="Q254" s="237"/>
      <c r="R254" s="237"/>
      <c r="S254" s="237"/>
      <c r="T254" s="237"/>
      <c r="U254" s="102"/>
      <c r="V254" s="102"/>
      <c r="W254" s="102"/>
      <c r="X254" s="102"/>
      <c r="Y254" s="102"/>
    </row>
    <row r="255" spans="1:25" s="5" customFormat="1" ht="15" customHeight="1" x14ac:dyDescent="0.25">
      <c r="A255" s="225"/>
      <c r="B255" s="89" t="s">
        <v>28</v>
      </c>
      <c r="C255" s="54"/>
      <c r="D255" s="54"/>
      <c r="E255" s="78"/>
      <c r="F255" s="170"/>
      <c r="G255" s="318"/>
      <c r="H255" s="286"/>
      <c r="I255" s="489"/>
      <c r="J255" s="489"/>
      <c r="K255" s="489"/>
      <c r="L255" s="491"/>
      <c r="M255" s="489"/>
      <c r="N255" s="489"/>
      <c r="O255" s="489"/>
      <c r="P255" s="489"/>
      <c r="Q255" s="244"/>
      <c r="R255" s="244"/>
      <c r="S255" s="244"/>
      <c r="T255" s="244"/>
      <c r="U255" s="240"/>
      <c r="V255" s="240"/>
      <c r="W255" s="240"/>
      <c r="X255" s="240"/>
      <c r="Y255" s="240"/>
    </row>
    <row r="256" spans="1:25" ht="14.25" customHeight="1" x14ac:dyDescent="0.2">
      <c r="A256" s="225">
        <v>189</v>
      </c>
      <c r="B256" s="37"/>
      <c r="C256" s="10" t="s">
        <v>298</v>
      </c>
      <c r="D256" s="10"/>
      <c r="E256" s="19" t="s">
        <v>222</v>
      </c>
      <c r="F256" s="159" t="s">
        <v>245</v>
      </c>
      <c r="G256" s="303">
        <f>+I256*J256</f>
        <v>0</v>
      </c>
      <c r="H256" s="268" t="s">
        <v>519</v>
      </c>
      <c r="I256" s="493"/>
      <c r="J256" s="314"/>
      <c r="K256" s="487"/>
      <c r="L256" s="491"/>
      <c r="M256" s="487"/>
      <c r="N256" s="487"/>
      <c r="O256" s="487"/>
      <c r="P256" s="487"/>
      <c r="Q256" s="237"/>
      <c r="R256" s="237"/>
      <c r="S256" s="237"/>
      <c r="T256" s="237"/>
      <c r="U256" s="102"/>
      <c r="V256" s="102"/>
      <c r="W256" s="102"/>
      <c r="X256" s="102"/>
      <c r="Y256" s="102"/>
    </row>
    <row r="257" spans="1:25" ht="14.25" customHeight="1" x14ac:dyDescent="0.2">
      <c r="A257" s="225">
        <v>190</v>
      </c>
      <c r="B257" s="37"/>
      <c r="C257" s="10" t="s">
        <v>83</v>
      </c>
      <c r="D257" s="10"/>
      <c r="E257" s="19" t="s">
        <v>84</v>
      </c>
      <c r="F257" s="159" t="s">
        <v>156</v>
      </c>
      <c r="G257" s="303"/>
      <c r="H257" s="268"/>
      <c r="I257" s="487"/>
      <c r="J257" s="487"/>
      <c r="K257" s="487"/>
      <c r="L257" s="491"/>
      <c r="M257" s="487"/>
      <c r="N257" s="487"/>
      <c r="O257" s="487"/>
      <c r="P257" s="487"/>
      <c r="Q257" s="237"/>
      <c r="R257" s="237"/>
      <c r="S257" s="237"/>
      <c r="T257" s="237"/>
      <c r="U257" s="102"/>
      <c r="V257" s="102"/>
      <c r="W257" s="102"/>
      <c r="X257" s="102"/>
      <c r="Y257" s="102"/>
    </row>
    <row r="258" spans="1:25" x14ac:dyDescent="0.2">
      <c r="A258" s="225">
        <v>191</v>
      </c>
      <c r="B258" s="37"/>
      <c r="C258" s="10" t="s">
        <v>111</v>
      </c>
      <c r="D258" s="10"/>
      <c r="E258" s="19" t="s">
        <v>112</v>
      </c>
      <c r="F258" s="159" t="s">
        <v>157</v>
      </c>
      <c r="G258" s="303">
        <v>43860</v>
      </c>
      <c r="H258" s="268" t="s">
        <v>468</v>
      </c>
      <c r="I258" s="487"/>
      <c r="J258" s="491"/>
      <c r="K258" s="487"/>
      <c r="L258" s="491"/>
      <c r="M258" s="487"/>
      <c r="N258" s="487"/>
      <c r="O258" s="487"/>
      <c r="P258" s="487"/>
      <c r="Q258" s="237"/>
      <c r="R258" s="237"/>
      <c r="S258" s="237"/>
      <c r="T258" s="237"/>
      <c r="U258" s="102"/>
      <c r="V258" s="102"/>
      <c r="W258" s="102"/>
      <c r="X258" s="102"/>
      <c r="Y258" s="102"/>
    </row>
    <row r="259" spans="1:25" ht="14.25" customHeight="1" x14ac:dyDescent="0.2">
      <c r="A259" s="225">
        <v>192</v>
      </c>
      <c r="B259" s="37"/>
      <c r="C259" s="10" t="s">
        <v>158</v>
      </c>
      <c r="D259" s="10"/>
      <c r="E259" s="19" t="s">
        <v>159</v>
      </c>
      <c r="F259" s="159" t="s">
        <v>156</v>
      </c>
      <c r="G259" s="303"/>
      <c r="H259" s="268"/>
      <c r="I259" s="487"/>
      <c r="J259" s="487"/>
      <c r="K259" s="487"/>
      <c r="L259" s="491"/>
      <c r="M259" s="487"/>
      <c r="N259" s="487"/>
      <c r="O259" s="487"/>
      <c r="P259" s="487"/>
      <c r="Q259" s="237"/>
      <c r="R259" s="237"/>
      <c r="S259" s="237"/>
      <c r="T259" s="237"/>
      <c r="U259" s="102"/>
      <c r="V259" s="102"/>
      <c r="W259" s="102"/>
      <c r="X259" s="102"/>
      <c r="Y259" s="102"/>
    </row>
    <row r="260" spans="1:25" ht="14.25" customHeight="1" x14ac:dyDescent="0.2">
      <c r="A260" s="225">
        <v>193</v>
      </c>
      <c r="B260" s="37"/>
      <c r="C260" s="10" t="s">
        <v>110</v>
      </c>
      <c r="D260" s="10"/>
      <c r="E260" s="19" t="s">
        <v>90</v>
      </c>
      <c r="F260" s="159" t="s">
        <v>156</v>
      </c>
      <c r="G260" s="303"/>
      <c r="H260" s="268"/>
      <c r="I260" s="487"/>
      <c r="J260" s="487"/>
      <c r="K260" s="487"/>
      <c r="L260" s="491"/>
      <c r="M260" s="487"/>
      <c r="N260" s="487"/>
      <c r="O260" s="487"/>
      <c r="P260" s="487"/>
      <c r="Q260" s="237"/>
      <c r="R260" s="237"/>
      <c r="S260" s="237"/>
      <c r="T260" s="237"/>
      <c r="U260" s="102"/>
      <c r="V260" s="102"/>
      <c r="W260" s="102"/>
      <c r="X260" s="102"/>
      <c r="Y260" s="102"/>
    </row>
    <row r="261" spans="1:25" ht="14.25" customHeight="1" x14ac:dyDescent="0.2">
      <c r="A261" s="225">
        <v>194</v>
      </c>
      <c r="B261" s="37"/>
      <c r="C261" s="10" t="s">
        <v>160</v>
      </c>
      <c r="D261" s="10"/>
      <c r="E261" s="19" t="s">
        <v>115</v>
      </c>
      <c r="F261" s="159" t="s">
        <v>156</v>
      </c>
      <c r="G261" s="303"/>
      <c r="H261" s="268"/>
      <c r="I261" s="487"/>
      <c r="J261" s="487"/>
      <c r="K261" s="487"/>
      <c r="L261" s="491"/>
      <c r="M261" s="487"/>
      <c r="N261" s="487"/>
      <c r="O261" s="487"/>
      <c r="P261" s="487"/>
      <c r="Q261" s="237"/>
      <c r="R261" s="237"/>
      <c r="S261" s="237"/>
      <c r="T261" s="237"/>
      <c r="U261" s="102"/>
      <c r="V261" s="102"/>
      <c r="W261" s="102"/>
      <c r="X261" s="102"/>
      <c r="Y261" s="102"/>
    </row>
    <row r="262" spans="1:25" ht="14.25" customHeight="1" x14ac:dyDescent="0.2">
      <c r="A262" s="225">
        <v>195</v>
      </c>
      <c r="B262" s="37"/>
      <c r="C262" s="10" t="s">
        <v>93</v>
      </c>
      <c r="D262" s="10"/>
      <c r="E262" s="19" t="s">
        <v>94</v>
      </c>
      <c r="F262" s="159" t="s">
        <v>156</v>
      </c>
      <c r="G262" s="303"/>
      <c r="H262" s="268"/>
      <c r="I262" s="487"/>
      <c r="J262" s="487"/>
      <c r="K262" s="487"/>
      <c r="L262" s="491"/>
      <c r="M262" s="487"/>
      <c r="N262" s="487"/>
      <c r="O262" s="487"/>
      <c r="P262" s="487"/>
      <c r="Q262" s="237"/>
      <c r="R262" s="237"/>
      <c r="S262" s="237"/>
      <c r="T262" s="237"/>
      <c r="U262" s="102"/>
      <c r="V262" s="102"/>
      <c r="W262" s="102"/>
      <c r="X262" s="102"/>
      <c r="Y262" s="102"/>
    </row>
    <row r="263" spans="1:25" ht="14.25" customHeight="1" x14ac:dyDescent="0.2">
      <c r="A263" s="225">
        <v>196</v>
      </c>
      <c r="B263" s="37"/>
      <c r="C263" s="10" t="s">
        <v>95</v>
      </c>
      <c r="D263" s="10"/>
      <c r="E263" s="19" t="s">
        <v>96</v>
      </c>
      <c r="F263" s="159" t="s">
        <v>156</v>
      </c>
      <c r="G263" s="303"/>
      <c r="H263" s="268"/>
      <c r="I263" s="487"/>
      <c r="J263" s="487"/>
      <c r="K263" s="487"/>
      <c r="L263" s="491"/>
      <c r="M263" s="487"/>
      <c r="N263" s="487"/>
      <c r="O263" s="487"/>
      <c r="P263" s="487"/>
      <c r="Q263" s="237"/>
      <c r="R263" s="237"/>
      <c r="S263" s="237"/>
      <c r="T263" s="237"/>
      <c r="U263" s="102"/>
      <c r="V263" s="102"/>
      <c r="W263" s="102"/>
      <c r="X263" s="102"/>
      <c r="Y263" s="102"/>
    </row>
    <row r="264" spans="1:25" ht="14.25" customHeight="1" x14ac:dyDescent="0.2">
      <c r="A264" s="225"/>
      <c r="B264" s="37"/>
      <c r="C264" s="10" t="s">
        <v>161</v>
      </c>
      <c r="D264" s="10"/>
      <c r="E264" s="62"/>
      <c r="F264" s="158"/>
      <c r="G264" s="302"/>
      <c r="H264" s="267"/>
      <c r="I264" s="487"/>
      <c r="J264" s="487"/>
      <c r="K264" s="487"/>
      <c r="L264" s="491"/>
      <c r="M264" s="487"/>
      <c r="N264" s="487"/>
      <c r="O264" s="487"/>
      <c r="P264" s="487"/>
      <c r="Q264" s="237"/>
      <c r="R264" s="237"/>
      <c r="S264" s="237"/>
      <c r="T264" s="237"/>
      <c r="U264" s="102"/>
      <c r="V264" s="102"/>
      <c r="W264" s="102"/>
      <c r="X264" s="102"/>
      <c r="Y264" s="102"/>
    </row>
    <row r="265" spans="1:25" ht="14.25" customHeight="1" x14ac:dyDescent="0.2">
      <c r="A265" s="225">
        <v>197</v>
      </c>
      <c r="B265" s="37"/>
      <c r="C265" s="10"/>
      <c r="D265" s="10" t="s">
        <v>162</v>
      </c>
      <c r="E265" s="19" t="s">
        <v>159</v>
      </c>
      <c r="F265" s="159" t="s">
        <v>155</v>
      </c>
      <c r="G265" s="303"/>
      <c r="H265" s="268"/>
      <c r="I265" s="487"/>
      <c r="J265" s="487"/>
      <c r="K265" s="487"/>
      <c r="L265" s="491"/>
      <c r="M265" s="487"/>
      <c r="N265" s="487"/>
      <c r="O265" s="487"/>
      <c r="P265" s="487"/>
      <c r="Q265" s="237"/>
      <c r="R265" s="237"/>
      <c r="S265" s="237"/>
      <c r="T265" s="237"/>
      <c r="U265" s="102"/>
      <c r="V265" s="102"/>
      <c r="W265" s="102"/>
      <c r="X265" s="102"/>
      <c r="Y265" s="102"/>
    </row>
    <row r="266" spans="1:25" x14ac:dyDescent="0.2">
      <c r="A266" s="225">
        <v>198</v>
      </c>
      <c r="B266" s="37"/>
      <c r="C266" s="10"/>
      <c r="D266" s="10" t="s">
        <v>163</v>
      </c>
      <c r="E266" s="19" t="s">
        <v>164</v>
      </c>
      <c r="F266" s="159" t="s">
        <v>155</v>
      </c>
      <c r="G266" s="321">
        <v>6375</v>
      </c>
      <c r="H266" s="268"/>
      <c r="I266" s="487"/>
      <c r="J266" s="491"/>
      <c r="K266" s="487"/>
      <c r="L266" s="491"/>
      <c r="M266" s="487"/>
      <c r="N266" s="487"/>
      <c r="O266" s="487"/>
      <c r="P266" s="487"/>
      <c r="Q266" s="237"/>
      <c r="R266" s="237"/>
      <c r="S266" s="237"/>
      <c r="T266" s="237"/>
      <c r="U266" s="102"/>
      <c r="V266" s="102"/>
      <c r="W266" s="102"/>
      <c r="X266" s="102"/>
      <c r="Y266" s="102"/>
    </row>
    <row r="267" spans="1:25" x14ac:dyDescent="0.2">
      <c r="A267" s="225">
        <v>199</v>
      </c>
      <c r="B267" s="37"/>
      <c r="C267" s="10"/>
      <c r="D267" s="10" t="s">
        <v>165</v>
      </c>
      <c r="E267" s="19" t="s">
        <v>166</v>
      </c>
      <c r="F267" s="159" t="s">
        <v>155</v>
      </c>
      <c r="G267" s="321">
        <v>4743</v>
      </c>
      <c r="H267" s="268"/>
      <c r="I267" s="487"/>
      <c r="J267" s="491"/>
      <c r="K267" s="487"/>
      <c r="L267" s="491"/>
      <c r="M267" s="487"/>
      <c r="N267" s="487"/>
      <c r="O267" s="487"/>
      <c r="P267" s="487"/>
      <c r="Q267" s="237"/>
      <c r="R267" s="237"/>
      <c r="S267" s="237"/>
      <c r="T267" s="237"/>
      <c r="U267" s="102"/>
      <c r="V267" s="102"/>
      <c r="W267" s="102"/>
      <c r="X267" s="102"/>
      <c r="Y267" s="102"/>
    </row>
    <row r="268" spans="1:25" x14ac:dyDescent="0.2">
      <c r="A268" s="225">
        <v>200</v>
      </c>
      <c r="B268" s="37"/>
      <c r="C268" s="10"/>
      <c r="D268" s="10" t="s">
        <v>167</v>
      </c>
      <c r="E268" s="19" t="s">
        <v>168</v>
      </c>
      <c r="F268" s="159" t="s">
        <v>155</v>
      </c>
      <c r="G268" s="321">
        <v>87210</v>
      </c>
      <c r="H268" s="268"/>
      <c r="I268" s="487"/>
      <c r="J268" s="491"/>
      <c r="K268" s="487"/>
      <c r="L268" s="491"/>
      <c r="M268" s="487"/>
      <c r="N268" s="487"/>
      <c r="O268" s="487"/>
      <c r="P268" s="487"/>
      <c r="Q268" s="237"/>
      <c r="R268" s="237"/>
      <c r="S268" s="237"/>
      <c r="T268" s="237"/>
      <c r="U268" s="102"/>
      <c r="V268" s="102"/>
      <c r="W268" s="102"/>
      <c r="X268" s="102"/>
      <c r="Y268" s="102"/>
    </row>
    <row r="269" spans="1:25" x14ac:dyDescent="0.2">
      <c r="A269" s="225">
        <v>201</v>
      </c>
      <c r="B269" s="37"/>
      <c r="C269" s="10"/>
      <c r="D269" s="10" t="s">
        <v>85</v>
      </c>
      <c r="E269" s="19" t="s">
        <v>86</v>
      </c>
      <c r="F269" s="159" t="s">
        <v>155</v>
      </c>
      <c r="G269" s="321">
        <v>46078.59944843909</v>
      </c>
      <c r="H269" s="268"/>
      <c r="I269" s="487"/>
      <c r="J269" s="491"/>
      <c r="K269" s="487"/>
      <c r="L269" s="491"/>
      <c r="M269" s="487"/>
      <c r="N269" s="487"/>
      <c r="O269" s="487"/>
      <c r="P269" s="487"/>
      <c r="Q269" s="237"/>
      <c r="R269" s="237"/>
      <c r="S269" s="237"/>
      <c r="T269" s="237"/>
      <c r="U269" s="102"/>
      <c r="V269" s="102"/>
      <c r="W269" s="102"/>
      <c r="X269" s="102"/>
      <c r="Y269" s="102"/>
    </row>
    <row r="270" spans="1:25" ht="14.25" customHeight="1" x14ac:dyDescent="0.2">
      <c r="A270" s="225">
        <v>202</v>
      </c>
      <c r="B270" s="37"/>
      <c r="C270" s="10"/>
      <c r="D270" s="10" t="s">
        <v>169</v>
      </c>
      <c r="E270" s="19" t="s">
        <v>170</v>
      </c>
      <c r="F270" s="159" t="s">
        <v>155</v>
      </c>
      <c r="G270" s="303">
        <f>+'KIPP Assumptions'!C$6*'KIPP Assumptions'!C$50</f>
        <v>40922.400000000001</v>
      </c>
      <c r="H270" s="268" t="s">
        <v>477</v>
      </c>
      <c r="I270" s="487"/>
      <c r="J270" s="487"/>
      <c r="K270" s="487"/>
      <c r="L270" s="491"/>
      <c r="M270" s="487"/>
      <c r="N270" s="487"/>
      <c r="O270" s="487"/>
      <c r="P270" s="487"/>
      <c r="Q270" s="237"/>
      <c r="R270" s="237"/>
      <c r="S270" s="237"/>
      <c r="T270" s="237"/>
      <c r="U270" s="102"/>
      <c r="V270" s="102"/>
      <c r="W270" s="102"/>
      <c r="X270" s="102"/>
      <c r="Y270" s="102"/>
    </row>
    <row r="271" spans="1:25" x14ac:dyDescent="0.2">
      <c r="A271" s="225">
        <v>203</v>
      </c>
      <c r="B271" s="37"/>
      <c r="C271" s="10"/>
      <c r="D271" s="10" t="s">
        <v>171</v>
      </c>
      <c r="E271" s="19" t="s">
        <v>144</v>
      </c>
      <c r="F271" s="159" t="s">
        <v>155</v>
      </c>
      <c r="G271" s="321">
        <v>0</v>
      </c>
      <c r="H271" s="268"/>
      <c r="I271" s="487"/>
      <c r="J271" s="491"/>
      <c r="K271" s="487"/>
      <c r="L271" s="491"/>
      <c r="M271" s="487"/>
      <c r="N271" s="487"/>
      <c r="O271" s="487"/>
      <c r="P271" s="487"/>
      <c r="Q271" s="237"/>
      <c r="R271" s="237"/>
      <c r="S271" s="237"/>
      <c r="T271" s="237"/>
      <c r="U271" s="102"/>
      <c r="V271" s="102"/>
      <c r="W271" s="102"/>
      <c r="X271" s="102"/>
      <c r="Y271" s="102"/>
    </row>
    <row r="272" spans="1:25" x14ac:dyDescent="0.2">
      <c r="A272" s="225">
        <v>204</v>
      </c>
      <c r="B272" s="37"/>
      <c r="C272" s="10"/>
      <c r="D272" s="10" t="s">
        <v>248</v>
      </c>
      <c r="E272" s="19" t="s">
        <v>249</v>
      </c>
      <c r="F272" s="159" t="s">
        <v>155</v>
      </c>
      <c r="G272" s="321">
        <v>91800</v>
      </c>
      <c r="H272" s="268"/>
      <c r="I272" s="487"/>
      <c r="J272" s="491"/>
      <c r="K272" s="487"/>
      <c r="L272" s="491"/>
      <c r="M272" s="487"/>
      <c r="N272" s="487"/>
      <c r="O272" s="487"/>
      <c r="P272" s="487"/>
      <c r="Q272" s="237"/>
      <c r="R272" s="237"/>
      <c r="S272" s="237"/>
      <c r="T272" s="237"/>
      <c r="U272" s="102"/>
      <c r="V272" s="102"/>
      <c r="W272" s="102"/>
      <c r="X272" s="102"/>
      <c r="Y272" s="102"/>
    </row>
    <row r="273" spans="1:25" x14ac:dyDescent="0.2">
      <c r="A273" s="225">
        <v>205</v>
      </c>
      <c r="B273" s="37"/>
      <c r="C273" s="10" t="s">
        <v>172</v>
      </c>
      <c r="D273" s="10"/>
      <c r="E273" s="19" t="s">
        <v>251</v>
      </c>
      <c r="F273" s="159">
        <v>2630</v>
      </c>
      <c r="G273" s="321">
        <v>2805</v>
      </c>
      <c r="H273" s="268"/>
      <c r="I273" s="487"/>
      <c r="J273" s="491"/>
      <c r="K273" s="487"/>
      <c r="L273" s="491"/>
      <c r="M273" s="487"/>
      <c r="N273" s="487"/>
      <c r="O273" s="487"/>
      <c r="P273" s="487"/>
      <c r="Q273" s="237"/>
      <c r="R273" s="237"/>
      <c r="S273" s="237"/>
      <c r="T273" s="237"/>
      <c r="U273" s="102"/>
      <c r="V273" s="102"/>
      <c r="W273" s="102"/>
      <c r="X273" s="102"/>
      <c r="Y273" s="102"/>
    </row>
    <row r="274" spans="1:25" x14ac:dyDescent="0.2">
      <c r="A274" s="225">
        <v>206</v>
      </c>
      <c r="B274" s="37"/>
      <c r="C274" s="10" t="s">
        <v>173</v>
      </c>
      <c r="D274" s="10"/>
      <c r="E274" s="19" t="s">
        <v>251</v>
      </c>
      <c r="F274" s="159">
        <v>2640</v>
      </c>
      <c r="G274" s="321">
        <v>2550</v>
      </c>
      <c r="H274" s="268"/>
      <c r="I274" s="487"/>
      <c r="J274" s="491"/>
      <c r="K274" s="487"/>
      <c r="L274" s="491"/>
      <c r="M274" s="487"/>
      <c r="N274" s="487"/>
      <c r="O274" s="487"/>
      <c r="P274" s="487"/>
      <c r="Q274" s="237"/>
      <c r="R274" s="237"/>
      <c r="S274" s="237"/>
      <c r="T274" s="237"/>
      <c r="U274" s="102"/>
      <c r="V274" s="102"/>
      <c r="W274" s="102"/>
      <c r="X274" s="102"/>
      <c r="Y274" s="102"/>
    </row>
    <row r="275" spans="1:25" ht="14.25" customHeight="1" x14ac:dyDescent="0.2">
      <c r="A275" s="225">
        <v>207</v>
      </c>
      <c r="B275" s="37"/>
      <c r="C275" s="10" t="s">
        <v>174</v>
      </c>
      <c r="D275" s="10"/>
      <c r="E275" s="19" t="s">
        <v>221</v>
      </c>
      <c r="F275" s="159" t="s">
        <v>245</v>
      </c>
      <c r="G275" s="303">
        <v>0</v>
      </c>
      <c r="H275" s="268"/>
      <c r="I275" s="487"/>
      <c r="J275" s="487"/>
      <c r="K275" s="487"/>
      <c r="L275" s="491"/>
      <c r="M275" s="487"/>
      <c r="N275" s="487"/>
      <c r="O275" s="487"/>
      <c r="P275" s="487"/>
      <c r="Q275" s="237"/>
      <c r="R275" s="237"/>
      <c r="S275" s="237"/>
      <c r="T275" s="237"/>
      <c r="U275" s="102"/>
      <c r="V275" s="102"/>
      <c r="W275" s="102"/>
      <c r="X275" s="102"/>
      <c r="Y275" s="102"/>
    </row>
    <row r="276" spans="1:25" ht="14.25" customHeight="1" x14ac:dyDescent="0.2">
      <c r="A276" s="225">
        <v>208</v>
      </c>
      <c r="B276" s="37"/>
      <c r="C276" s="10" t="s">
        <v>295</v>
      </c>
      <c r="D276" s="10"/>
      <c r="E276" s="19" t="s">
        <v>97</v>
      </c>
      <c r="F276" s="159" t="s">
        <v>245</v>
      </c>
      <c r="G276" s="303">
        <f t="shared" ref="G276:G280" si="7">+SUM(G$256)*$I276</f>
        <v>0</v>
      </c>
      <c r="H276" s="268"/>
      <c r="I276" s="492">
        <f>'KIPP Assumptions'!$B$105+'KIPP Assumptions'!$B$106+'KIPP Assumptions'!$B$107+'KIPP Assumptions'!$B$108+'KIPP Assumptions'!$B$109</f>
        <v>7.0773334087038758E-2</v>
      </c>
      <c r="J276" s="487"/>
      <c r="K276" s="487"/>
      <c r="L276" s="491"/>
      <c r="M276" s="487"/>
      <c r="N276" s="487"/>
      <c r="O276" s="487"/>
      <c r="P276" s="487"/>
      <c r="Q276" s="237"/>
      <c r="R276" s="237"/>
      <c r="S276" s="237"/>
      <c r="T276" s="237"/>
      <c r="U276" s="102"/>
      <c r="V276" s="102"/>
      <c r="W276" s="102"/>
      <c r="X276" s="102"/>
      <c r="Y276" s="102"/>
    </row>
    <row r="277" spans="1:25" ht="14.25" customHeight="1" x14ac:dyDescent="0.2">
      <c r="A277" s="225">
        <v>209</v>
      </c>
      <c r="B277" s="37"/>
      <c r="C277" s="10" t="s">
        <v>98</v>
      </c>
      <c r="D277" s="10"/>
      <c r="E277" s="19" t="s">
        <v>99</v>
      </c>
      <c r="F277" s="159" t="s">
        <v>245</v>
      </c>
      <c r="G277" s="303">
        <f t="shared" si="7"/>
        <v>0</v>
      </c>
      <c r="H277" s="268"/>
      <c r="I277" s="492">
        <f>'KIPP Assumptions'!$B$111</f>
        <v>6.2E-2</v>
      </c>
      <c r="J277" s="487"/>
      <c r="K277" s="487"/>
      <c r="L277" s="491"/>
      <c r="M277" s="487"/>
      <c r="N277" s="487"/>
      <c r="O277" s="487"/>
      <c r="P277" s="487"/>
      <c r="Q277" s="237"/>
      <c r="R277" s="237"/>
      <c r="S277" s="237"/>
      <c r="T277" s="237"/>
      <c r="U277" s="102"/>
      <c r="V277" s="102"/>
      <c r="W277" s="102"/>
      <c r="X277" s="102"/>
      <c r="Y277" s="102"/>
    </row>
    <row r="278" spans="1:25" ht="14.25" customHeight="1" x14ac:dyDescent="0.2">
      <c r="A278" s="225">
        <v>210</v>
      </c>
      <c r="B278" s="37"/>
      <c r="C278" s="10" t="s">
        <v>100</v>
      </c>
      <c r="D278" s="10"/>
      <c r="E278" s="19" t="s">
        <v>101</v>
      </c>
      <c r="F278" s="159" t="s">
        <v>245</v>
      </c>
      <c r="G278" s="303">
        <f t="shared" si="7"/>
        <v>0</v>
      </c>
      <c r="H278" s="268"/>
      <c r="I278" s="492">
        <f>'KIPP Assumptions'!$B$110</f>
        <v>1.4500000000000001E-2</v>
      </c>
      <c r="J278" s="487"/>
      <c r="K278" s="487"/>
      <c r="L278" s="491"/>
      <c r="M278" s="487"/>
      <c r="N278" s="487"/>
      <c r="O278" s="487"/>
      <c r="P278" s="487"/>
      <c r="Q278" s="237"/>
      <c r="R278" s="237"/>
      <c r="S278" s="237"/>
      <c r="T278" s="237"/>
      <c r="U278" s="102"/>
      <c r="V278" s="102"/>
      <c r="W278" s="102"/>
      <c r="X278" s="102"/>
      <c r="Y278" s="102"/>
    </row>
    <row r="279" spans="1:25" ht="14.25" customHeight="1" x14ac:dyDescent="0.2">
      <c r="A279" s="225">
        <v>211</v>
      </c>
      <c r="B279" s="37"/>
      <c r="C279" s="10" t="s">
        <v>219</v>
      </c>
      <c r="D279" s="10"/>
      <c r="E279" s="19" t="s">
        <v>220</v>
      </c>
      <c r="F279" s="159" t="s">
        <v>245</v>
      </c>
      <c r="G279" s="303">
        <f t="shared" si="7"/>
        <v>0</v>
      </c>
      <c r="H279" s="268"/>
      <c r="I279" s="492">
        <f>+'KIPP Assumptions'!$B$113</f>
        <v>3.21290868212155E-2</v>
      </c>
      <c r="J279" s="487"/>
      <c r="K279" s="487"/>
      <c r="L279" s="491"/>
      <c r="M279" s="487"/>
      <c r="N279" s="487"/>
      <c r="O279" s="487"/>
      <c r="P279" s="487"/>
      <c r="Q279" s="237"/>
      <c r="R279" s="237"/>
      <c r="S279" s="237"/>
      <c r="T279" s="237"/>
      <c r="U279" s="102"/>
      <c r="V279" s="102"/>
      <c r="W279" s="102"/>
      <c r="X279" s="102"/>
      <c r="Y279" s="102"/>
    </row>
    <row r="280" spans="1:25" ht="14.25" customHeight="1" x14ac:dyDescent="0.2">
      <c r="A280" s="225">
        <v>212</v>
      </c>
      <c r="B280" s="37"/>
      <c r="C280" s="10" t="s">
        <v>102</v>
      </c>
      <c r="D280" s="10"/>
      <c r="E280" s="19" t="s">
        <v>103</v>
      </c>
      <c r="F280" s="159" t="s">
        <v>245</v>
      </c>
      <c r="G280" s="303">
        <f t="shared" si="7"/>
        <v>0</v>
      </c>
      <c r="H280" s="268"/>
      <c r="I280" s="492">
        <f>+'KIPP Assumptions'!$B$112</f>
        <v>1E-3</v>
      </c>
      <c r="J280" s="487"/>
      <c r="K280" s="487"/>
      <c r="L280" s="491"/>
      <c r="M280" s="487"/>
      <c r="N280" s="487"/>
      <c r="O280" s="487"/>
      <c r="P280" s="487"/>
      <c r="Q280" s="237"/>
      <c r="R280" s="237"/>
      <c r="S280" s="237"/>
      <c r="T280" s="237"/>
      <c r="U280" s="102"/>
      <c r="V280" s="102"/>
      <c r="W280" s="102"/>
      <c r="X280" s="102"/>
      <c r="Y280" s="102"/>
    </row>
    <row r="281" spans="1:25" ht="14.25" customHeight="1" x14ac:dyDescent="0.2">
      <c r="A281" s="225">
        <v>213</v>
      </c>
      <c r="B281" s="37"/>
      <c r="C281" s="10" t="s">
        <v>104</v>
      </c>
      <c r="D281" s="10"/>
      <c r="E281" s="19" t="s">
        <v>105</v>
      </c>
      <c r="F281" s="159" t="s">
        <v>245</v>
      </c>
      <c r="G281" s="303"/>
      <c r="H281" s="268"/>
      <c r="I281" s="487"/>
      <c r="J281" s="487"/>
      <c r="K281" s="487"/>
      <c r="L281" s="491"/>
      <c r="M281" s="487"/>
      <c r="N281" s="487"/>
      <c r="O281" s="487"/>
      <c r="P281" s="487"/>
      <c r="Q281" s="237"/>
      <c r="R281" s="237"/>
      <c r="S281" s="237"/>
      <c r="T281" s="237"/>
      <c r="U281" s="102"/>
      <c r="V281" s="102"/>
      <c r="W281" s="102"/>
      <c r="X281" s="102"/>
      <c r="Y281" s="102"/>
    </row>
    <row r="282" spans="1:25" ht="14.25" customHeight="1" x14ac:dyDescent="0.2">
      <c r="A282" s="225">
        <v>214</v>
      </c>
      <c r="B282" s="37"/>
      <c r="C282" s="86" t="s">
        <v>283</v>
      </c>
      <c r="D282" s="10"/>
      <c r="E282" s="19"/>
      <c r="F282" s="159"/>
      <c r="G282" s="303"/>
      <c r="H282" s="268"/>
      <c r="I282" s="487"/>
      <c r="J282" s="487"/>
      <c r="K282" s="487"/>
      <c r="L282" s="491"/>
      <c r="M282" s="487"/>
      <c r="N282" s="487"/>
      <c r="O282" s="487"/>
      <c r="P282" s="487"/>
      <c r="Q282" s="237"/>
      <c r="R282" s="237"/>
      <c r="S282" s="237"/>
      <c r="T282" s="237"/>
      <c r="U282" s="102"/>
      <c r="V282" s="102"/>
      <c r="W282" s="102"/>
      <c r="X282" s="102"/>
      <c r="Y282" s="102"/>
    </row>
    <row r="283" spans="1:25" ht="14.25" customHeight="1" x14ac:dyDescent="0.2">
      <c r="A283" s="225">
        <v>215</v>
      </c>
      <c r="B283" s="37"/>
      <c r="C283" s="86"/>
      <c r="D283" s="10"/>
      <c r="E283" s="19"/>
      <c r="F283" s="159"/>
      <c r="G283" s="303"/>
      <c r="H283" s="268"/>
      <c r="I283" s="487"/>
      <c r="J283" s="487"/>
      <c r="K283" s="487"/>
      <c r="L283" s="491"/>
      <c r="M283" s="487"/>
      <c r="N283" s="487"/>
      <c r="O283" s="487"/>
      <c r="P283" s="487"/>
      <c r="Q283" s="237"/>
      <c r="R283" s="237"/>
      <c r="S283" s="237"/>
      <c r="T283" s="237"/>
      <c r="U283" s="102"/>
      <c r="V283" s="102"/>
      <c r="W283" s="102"/>
      <c r="X283" s="102"/>
      <c r="Y283" s="102"/>
    </row>
    <row r="284" spans="1:25" ht="14.25" customHeight="1" x14ac:dyDescent="0.2">
      <c r="A284" s="225">
        <v>216</v>
      </c>
      <c r="B284" s="37"/>
      <c r="C284" s="10"/>
      <c r="D284" s="10"/>
      <c r="E284" s="19"/>
      <c r="F284" s="159"/>
      <c r="G284" s="303"/>
      <c r="H284" s="268"/>
      <c r="I284" s="487"/>
      <c r="J284" s="487"/>
      <c r="K284" s="487"/>
      <c r="L284" s="491"/>
      <c r="M284" s="487"/>
      <c r="N284" s="487"/>
      <c r="O284" s="487"/>
      <c r="P284" s="487"/>
      <c r="Q284" s="237"/>
      <c r="R284" s="237"/>
      <c r="S284" s="237"/>
      <c r="T284" s="237"/>
      <c r="U284" s="102"/>
      <c r="V284" s="102"/>
      <c r="W284" s="102"/>
      <c r="X284" s="102"/>
      <c r="Y284" s="102"/>
    </row>
    <row r="285" spans="1:25" ht="15" customHeight="1" x14ac:dyDescent="0.25">
      <c r="A285" s="226">
        <v>217</v>
      </c>
      <c r="B285" s="88" t="s">
        <v>175</v>
      </c>
      <c r="C285" s="52"/>
      <c r="D285" s="52"/>
      <c r="E285" s="50"/>
      <c r="F285" s="163"/>
      <c r="G285" s="306">
        <f>SUM(G256:G284)</f>
        <v>326343.99944843911</v>
      </c>
      <c r="H285" s="271"/>
      <c r="I285" s="487"/>
      <c r="J285" s="487"/>
      <c r="K285" s="487"/>
      <c r="L285" s="491"/>
      <c r="M285" s="487"/>
      <c r="N285" s="487"/>
      <c r="O285" s="487"/>
      <c r="P285" s="487"/>
      <c r="Q285" s="237"/>
      <c r="R285" s="237"/>
      <c r="S285" s="237"/>
      <c r="T285" s="237"/>
      <c r="U285" s="102"/>
      <c r="V285" s="102"/>
      <c r="W285" s="102"/>
      <c r="X285" s="102"/>
      <c r="Y285" s="102"/>
    </row>
    <row r="286" spans="1:25" ht="14.25" customHeight="1" x14ac:dyDescent="0.2">
      <c r="A286" s="225"/>
      <c r="B286" s="37"/>
      <c r="C286" s="10"/>
      <c r="D286" s="10"/>
      <c r="E286" s="62"/>
      <c r="F286" s="158"/>
      <c r="G286" s="302"/>
      <c r="H286" s="267"/>
      <c r="I286" s="487"/>
      <c r="J286" s="487"/>
      <c r="K286" s="487"/>
      <c r="L286" s="491"/>
      <c r="M286" s="487"/>
      <c r="N286" s="487"/>
      <c r="O286" s="487"/>
      <c r="P286" s="487"/>
      <c r="Q286" s="237"/>
      <c r="R286" s="237"/>
      <c r="S286" s="237"/>
      <c r="T286" s="237"/>
      <c r="U286" s="102"/>
      <c r="V286" s="102"/>
      <c r="W286" s="102"/>
      <c r="X286" s="102"/>
      <c r="Y286" s="102"/>
    </row>
    <row r="287" spans="1:25" s="5" customFormat="1" ht="15" customHeight="1" x14ac:dyDescent="0.25">
      <c r="A287" s="225"/>
      <c r="B287" s="89" t="s">
        <v>29</v>
      </c>
      <c r="C287" s="54"/>
      <c r="D287" s="54"/>
      <c r="E287" s="78"/>
      <c r="F287" s="170"/>
      <c r="G287" s="318"/>
      <c r="H287" s="286"/>
      <c r="I287" s="489"/>
      <c r="J287" s="489"/>
      <c r="K287" s="489"/>
      <c r="L287" s="491"/>
      <c r="M287" s="489"/>
      <c r="N287" s="489"/>
      <c r="O287" s="489"/>
      <c r="P287" s="489"/>
      <c r="Q287" s="244"/>
      <c r="R287" s="244"/>
      <c r="S287" s="244"/>
      <c r="T287" s="244"/>
      <c r="U287" s="240"/>
      <c r="V287" s="240"/>
      <c r="W287" s="240"/>
      <c r="X287" s="240"/>
      <c r="Y287" s="240"/>
    </row>
    <row r="288" spans="1:25" ht="14.25" customHeight="1" x14ac:dyDescent="0.2">
      <c r="A288" s="225">
        <v>218</v>
      </c>
      <c r="B288" s="37"/>
      <c r="C288" s="10" t="s">
        <v>83</v>
      </c>
      <c r="D288" s="10"/>
      <c r="E288" s="19" t="s">
        <v>246</v>
      </c>
      <c r="F288" s="159" t="s">
        <v>247</v>
      </c>
      <c r="G288" s="303"/>
      <c r="H288" s="268"/>
      <c r="I288" s="487"/>
      <c r="J288" s="487"/>
      <c r="K288" s="487"/>
      <c r="L288" s="491"/>
      <c r="M288" s="487"/>
      <c r="N288" s="487"/>
      <c r="O288" s="487"/>
      <c r="P288" s="487"/>
      <c r="Q288" s="237"/>
      <c r="R288" s="237"/>
      <c r="S288" s="237"/>
      <c r="T288" s="237"/>
      <c r="U288" s="102"/>
      <c r="V288" s="102"/>
      <c r="W288" s="102"/>
      <c r="X288" s="102"/>
      <c r="Y288" s="102"/>
    </row>
    <row r="289" spans="1:25" ht="14.25" customHeight="1" x14ac:dyDescent="0.2">
      <c r="A289" s="225"/>
      <c r="B289" s="37"/>
      <c r="C289" s="10" t="s">
        <v>176</v>
      </c>
      <c r="D289" s="10"/>
      <c r="E289" s="62"/>
      <c r="F289" s="158"/>
      <c r="G289" s="302"/>
      <c r="H289" s="267"/>
      <c r="I289" s="487"/>
      <c r="J289" s="487"/>
      <c r="K289" s="487"/>
      <c r="L289" s="491"/>
      <c r="M289" s="487"/>
      <c r="N289" s="487"/>
      <c r="O289" s="487"/>
      <c r="P289" s="487"/>
      <c r="Q289" s="237"/>
      <c r="R289" s="237"/>
      <c r="S289" s="237"/>
      <c r="T289" s="237"/>
      <c r="U289" s="102"/>
      <c r="V289" s="102"/>
      <c r="W289" s="102"/>
      <c r="X289" s="102"/>
      <c r="Y289" s="102"/>
    </row>
    <row r="290" spans="1:25" ht="14.25" customHeight="1" x14ac:dyDescent="0.2">
      <c r="A290" s="225">
        <v>219</v>
      </c>
      <c r="B290" s="37"/>
      <c r="C290" s="10" t="s">
        <v>33</v>
      </c>
      <c r="D290" s="10" t="s">
        <v>299</v>
      </c>
      <c r="E290" s="19" t="s">
        <v>222</v>
      </c>
      <c r="F290" s="159" t="s">
        <v>247</v>
      </c>
      <c r="G290" s="303">
        <v>0</v>
      </c>
      <c r="H290" s="268"/>
      <c r="I290" s="487"/>
      <c r="J290" s="487"/>
      <c r="K290" s="487"/>
      <c r="L290" s="491"/>
      <c r="M290" s="487"/>
      <c r="N290" s="487"/>
      <c r="O290" s="487"/>
      <c r="P290" s="487"/>
      <c r="Q290" s="237"/>
      <c r="R290" s="237"/>
      <c r="S290" s="237"/>
      <c r="T290" s="237"/>
      <c r="U290" s="102"/>
      <c r="V290" s="102"/>
      <c r="W290" s="102"/>
      <c r="X290" s="102"/>
      <c r="Y290" s="102"/>
    </row>
    <row r="291" spans="1:25" ht="14.25" customHeight="1" x14ac:dyDescent="0.2">
      <c r="A291" s="225">
        <v>220</v>
      </c>
      <c r="B291" s="37"/>
      <c r="C291" s="10"/>
      <c r="D291" s="10" t="s">
        <v>85</v>
      </c>
      <c r="E291" s="19" t="s">
        <v>86</v>
      </c>
      <c r="F291" s="159" t="s">
        <v>177</v>
      </c>
      <c r="G291" s="303">
        <v>0</v>
      </c>
      <c r="H291" s="268"/>
      <c r="I291" s="487"/>
      <c r="J291" s="487"/>
      <c r="K291" s="487"/>
      <c r="L291" s="491"/>
      <c r="M291" s="487"/>
      <c r="N291" s="499"/>
      <c r="O291" s="487"/>
      <c r="P291" s="487"/>
      <c r="Q291" s="237"/>
      <c r="R291" s="237"/>
      <c r="S291" s="237"/>
      <c r="T291" s="237"/>
      <c r="U291" s="102"/>
      <c r="V291" s="102"/>
      <c r="W291" s="102"/>
      <c r="X291" s="102"/>
      <c r="Y291" s="102"/>
    </row>
    <row r="292" spans="1:25" x14ac:dyDescent="0.2">
      <c r="A292" s="225">
        <v>221</v>
      </c>
      <c r="B292" s="37"/>
      <c r="C292" s="10"/>
      <c r="D292" s="10" t="s">
        <v>178</v>
      </c>
      <c r="E292" s="19" t="s">
        <v>179</v>
      </c>
      <c r="F292" s="159" t="s">
        <v>177</v>
      </c>
      <c r="G292" s="303">
        <v>375545.45454545459</v>
      </c>
      <c r="H292" s="268" t="s">
        <v>429</v>
      </c>
      <c r="I292" s="487"/>
      <c r="J292" s="491"/>
      <c r="K292" s="487"/>
      <c r="L292" s="491"/>
      <c r="M292" s="487"/>
      <c r="N292" s="491"/>
      <c r="O292" s="487"/>
      <c r="P292" s="487"/>
      <c r="Q292" s="237"/>
      <c r="R292" s="237"/>
      <c r="S292" s="237"/>
      <c r="T292" s="237"/>
      <c r="U292" s="102"/>
      <c r="V292" s="102"/>
      <c r="W292" s="102"/>
      <c r="X292" s="102"/>
      <c r="Y292" s="102"/>
    </row>
    <row r="293" spans="1:25" ht="14.25" customHeight="1" x14ac:dyDescent="0.2">
      <c r="A293" s="225">
        <v>222</v>
      </c>
      <c r="B293" s="37"/>
      <c r="C293" s="10"/>
      <c r="D293" s="10" t="s">
        <v>113</v>
      </c>
      <c r="E293" s="19" t="s">
        <v>114</v>
      </c>
      <c r="F293" s="159" t="s">
        <v>177</v>
      </c>
      <c r="G293" s="303">
        <v>0</v>
      </c>
      <c r="H293" s="268"/>
      <c r="I293" s="487"/>
      <c r="J293" s="487"/>
      <c r="K293" s="487"/>
      <c r="L293" s="491"/>
      <c r="M293" s="487"/>
      <c r="N293" s="491"/>
      <c r="O293" s="487"/>
      <c r="P293" s="487"/>
      <c r="Q293" s="237"/>
      <c r="R293" s="237"/>
      <c r="S293" s="237"/>
      <c r="T293" s="237"/>
      <c r="U293" s="102"/>
      <c r="V293" s="102"/>
      <c r="W293" s="102"/>
      <c r="X293" s="102"/>
      <c r="Y293" s="102"/>
    </row>
    <row r="294" spans="1:25" ht="14.25" customHeight="1" x14ac:dyDescent="0.2">
      <c r="A294" s="225">
        <v>223</v>
      </c>
      <c r="B294" s="37"/>
      <c r="C294" s="10"/>
      <c r="D294" s="10" t="s">
        <v>110</v>
      </c>
      <c r="E294" s="19" t="s">
        <v>90</v>
      </c>
      <c r="F294" s="159" t="s">
        <v>177</v>
      </c>
      <c r="G294" s="303">
        <v>0</v>
      </c>
      <c r="H294" s="268"/>
      <c r="I294" s="487"/>
      <c r="J294" s="487"/>
      <c r="K294" s="487"/>
      <c r="L294" s="491"/>
      <c r="O294" s="487"/>
      <c r="P294" s="487"/>
      <c r="Q294" s="237"/>
      <c r="R294" s="237"/>
      <c r="S294" s="237"/>
      <c r="T294" s="237"/>
      <c r="U294" s="102"/>
      <c r="V294" s="102"/>
      <c r="W294" s="102"/>
      <c r="X294" s="102"/>
      <c r="Y294" s="102"/>
    </row>
    <row r="295" spans="1:25" ht="14.25" customHeight="1" x14ac:dyDescent="0.2">
      <c r="A295" s="225">
        <v>224</v>
      </c>
      <c r="B295" s="37"/>
      <c r="C295" s="10"/>
      <c r="D295" s="10" t="s">
        <v>180</v>
      </c>
      <c r="E295" s="19" t="s">
        <v>115</v>
      </c>
      <c r="F295" s="159" t="s">
        <v>177</v>
      </c>
      <c r="G295" s="303">
        <v>0</v>
      </c>
      <c r="H295" s="268"/>
      <c r="I295" s="487"/>
      <c r="J295" s="487"/>
      <c r="K295" s="487"/>
      <c r="L295" s="491"/>
      <c r="M295" s="487"/>
      <c r="N295" s="491"/>
      <c r="O295" s="487"/>
      <c r="P295" s="487"/>
      <c r="Q295" s="237"/>
      <c r="R295" s="237"/>
      <c r="S295" s="237"/>
      <c r="T295" s="237"/>
      <c r="U295" s="102"/>
      <c r="V295" s="102"/>
      <c r="W295" s="102"/>
      <c r="X295" s="102"/>
      <c r="Y295" s="102"/>
    </row>
    <row r="296" spans="1:25" ht="14.25" customHeight="1" x14ac:dyDescent="0.2">
      <c r="A296" s="225">
        <v>225</v>
      </c>
      <c r="B296" s="37"/>
      <c r="C296" s="10"/>
      <c r="D296" s="10" t="s">
        <v>93</v>
      </c>
      <c r="E296" s="19" t="s">
        <v>94</v>
      </c>
      <c r="F296" s="159" t="s">
        <v>177</v>
      </c>
      <c r="G296" s="303">
        <v>0</v>
      </c>
      <c r="H296" s="268"/>
      <c r="I296" s="487"/>
      <c r="J296" s="487"/>
      <c r="K296" s="487"/>
      <c r="L296" s="491"/>
      <c r="M296" s="487"/>
      <c r="N296" s="491"/>
      <c r="O296" s="487"/>
      <c r="P296" s="487"/>
      <c r="Q296" s="237"/>
      <c r="R296" s="237"/>
      <c r="S296" s="237"/>
      <c r="T296" s="237"/>
      <c r="U296" s="102"/>
      <c r="V296" s="102"/>
      <c r="W296" s="102"/>
      <c r="X296" s="102"/>
      <c r="Y296" s="102"/>
    </row>
    <row r="297" spans="1:25" ht="14.25" customHeight="1" x14ac:dyDescent="0.2">
      <c r="A297" s="225">
        <v>226</v>
      </c>
      <c r="B297" s="37"/>
      <c r="C297" s="10"/>
      <c r="D297" s="10" t="s">
        <v>95</v>
      </c>
      <c r="E297" s="19" t="s">
        <v>96</v>
      </c>
      <c r="F297" s="159" t="s">
        <v>177</v>
      </c>
      <c r="G297" s="303">
        <v>0</v>
      </c>
      <c r="H297" s="268"/>
      <c r="I297" s="487"/>
      <c r="J297" s="487"/>
      <c r="K297" s="487"/>
      <c r="L297" s="491"/>
      <c r="M297" s="487"/>
      <c r="N297" s="491"/>
      <c r="O297" s="487"/>
      <c r="P297" s="487"/>
      <c r="Q297" s="237"/>
      <c r="R297" s="237"/>
      <c r="S297" s="237"/>
      <c r="T297" s="237"/>
      <c r="U297" s="102"/>
      <c r="V297" s="102"/>
      <c r="W297" s="102"/>
      <c r="X297" s="102"/>
      <c r="Y297" s="102"/>
    </row>
    <row r="298" spans="1:25" ht="14.25" customHeight="1" x14ac:dyDescent="0.2">
      <c r="A298" s="225">
        <v>227</v>
      </c>
      <c r="B298" s="37"/>
      <c r="C298" s="10"/>
      <c r="D298" s="10" t="s">
        <v>295</v>
      </c>
      <c r="E298" s="19" t="s">
        <v>97</v>
      </c>
      <c r="F298" s="159" t="s">
        <v>247</v>
      </c>
      <c r="G298" s="303">
        <v>0</v>
      </c>
      <c r="H298" s="268"/>
      <c r="I298" s="487"/>
      <c r="J298" s="487"/>
      <c r="K298" s="487"/>
      <c r="L298" s="491"/>
      <c r="O298" s="487"/>
      <c r="P298" s="487"/>
      <c r="Q298" s="237"/>
      <c r="R298" s="237"/>
      <c r="S298" s="237"/>
      <c r="T298" s="237"/>
      <c r="U298" s="102"/>
      <c r="V298" s="102"/>
      <c r="W298" s="102"/>
      <c r="X298" s="102"/>
      <c r="Y298" s="102"/>
    </row>
    <row r="299" spans="1:25" ht="14.25" customHeight="1" x14ac:dyDescent="0.2">
      <c r="A299" s="225">
        <v>228</v>
      </c>
      <c r="B299" s="37"/>
      <c r="C299" s="10"/>
      <c r="D299" s="10" t="s">
        <v>98</v>
      </c>
      <c r="E299" s="19" t="s">
        <v>99</v>
      </c>
      <c r="F299" s="159" t="s">
        <v>247</v>
      </c>
      <c r="G299" s="303">
        <v>0</v>
      </c>
      <c r="H299" s="268"/>
      <c r="I299" s="487"/>
      <c r="J299" s="487"/>
      <c r="K299" s="487"/>
      <c r="L299" s="491"/>
      <c r="O299" s="487"/>
      <c r="P299" s="487"/>
      <c r="Q299" s="237"/>
      <c r="R299" s="237"/>
      <c r="S299" s="237"/>
      <c r="T299" s="237"/>
      <c r="U299" s="102"/>
      <c r="V299" s="102"/>
      <c r="W299" s="102"/>
      <c r="X299" s="102"/>
      <c r="Y299" s="102"/>
    </row>
    <row r="300" spans="1:25" ht="14.25" customHeight="1" x14ac:dyDescent="0.2">
      <c r="A300" s="225">
        <v>229</v>
      </c>
      <c r="B300" s="37"/>
      <c r="C300" s="10"/>
      <c r="D300" s="10" t="s">
        <v>100</v>
      </c>
      <c r="E300" s="19" t="s">
        <v>101</v>
      </c>
      <c r="F300" s="159" t="s">
        <v>247</v>
      </c>
      <c r="G300" s="303">
        <v>0</v>
      </c>
      <c r="H300" s="268"/>
      <c r="I300" s="487"/>
      <c r="J300" s="487"/>
      <c r="K300" s="487"/>
      <c r="L300" s="491"/>
      <c r="M300" s="487"/>
      <c r="N300" s="491"/>
      <c r="O300" s="487"/>
      <c r="P300" s="487"/>
      <c r="Q300" s="237"/>
      <c r="R300" s="237"/>
      <c r="S300" s="237"/>
      <c r="T300" s="237"/>
      <c r="U300" s="102"/>
      <c r="V300" s="102"/>
      <c r="W300" s="102"/>
      <c r="X300" s="102"/>
      <c r="Y300" s="102"/>
    </row>
    <row r="301" spans="1:25" ht="14.25" customHeight="1" x14ac:dyDescent="0.2">
      <c r="A301" s="225">
        <v>230</v>
      </c>
      <c r="B301" s="37"/>
      <c r="C301" s="10"/>
      <c r="D301" s="10" t="s">
        <v>219</v>
      </c>
      <c r="E301" s="19" t="s">
        <v>220</v>
      </c>
      <c r="F301" s="159" t="s">
        <v>247</v>
      </c>
      <c r="G301" s="303">
        <v>0</v>
      </c>
      <c r="H301" s="268"/>
      <c r="I301" s="487"/>
      <c r="J301" s="487"/>
      <c r="K301" s="487"/>
      <c r="L301" s="491"/>
      <c r="O301" s="487"/>
      <c r="P301" s="487"/>
      <c r="Q301" s="237"/>
      <c r="R301" s="237"/>
      <c r="S301" s="237"/>
      <c r="T301" s="237"/>
      <c r="U301" s="102"/>
      <c r="V301" s="102"/>
      <c r="W301" s="102"/>
      <c r="X301" s="102"/>
      <c r="Y301" s="102"/>
    </row>
    <row r="302" spans="1:25" ht="14.25" customHeight="1" x14ac:dyDescent="0.2">
      <c r="A302" s="225">
        <v>231</v>
      </c>
      <c r="B302" s="37"/>
      <c r="C302" s="10"/>
      <c r="D302" s="10" t="s">
        <v>102</v>
      </c>
      <c r="E302" s="19" t="s">
        <v>103</v>
      </c>
      <c r="F302" s="159" t="s">
        <v>247</v>
      </c>
      <c r="G302" s="303">
        <v>0</v>
      </c>
      <c r="H302" s="268"/>
      <c r="I302" s="487"/>
      <c r="J302" s="487"/>
      <c r="K302" s="487"/>
      <c r="L302" s="491"/>
      <c r="O302" s="487"/>
      <c r="P302" s="487"/>
      <c r="Q302" s="237"/>
      <c r="R302" s="237"/>
      <c r="S302" s="237"/>
      <c r="T302" s="237"/>
      <c r="U302" s="102"/>
      <c r="V302" s="102"/>
      <c r="W302" s="102"/>
      <c r="X302" s="102"/>
      <c r="Y302" s="102"/>
    </row>
    <row r="303" spans="1:25" ht="14.25" customHeight="1" x14ac:dyDescent="0.2">
      <c r="A303" s="225">
        <v>232</v>
      </c>
      <c r="B303" s="37"/>
      <c r="C303" s="10"/>
      <c r="D303" s="10" t="s">
        <v>104</v>
      </c>
      <c r="E303" s="19" t="s">
        <v>105</v>
      </c>
      <c r="F303" s="159" t="s">
        <v>247</v>
      </c>
      <c r="G303" s="303">
        <v>0</v>
      </c>
      <c r="H303" s="268"/>
      <c r="I303" s="487"/>
      <c r="J303" s="487"/>
      <c r="K303" s="487"/>
      <c r="L303" s="491"/>
      <c r="M303" s="487"/>
      <c r="N303" s="487"/>
      <c r="O303" s="487"/>
      <c r="P303" s="487"/>
      <c r="Q303" s="237"/>
      <c r="R303" s="237"/>
      <c r="S303" s="237"/>
      <c r="T303" s="237"/>
      <c r="U303" s="102"/>
      <c r="V303" s="102"/>
      <c r="W303" s="102"/>
      <c r="X303" s="102"/>
      <c r="Y303" s="102"/>
    </row>
    <row r="304" spans="1:25" ht="14.25" customHeight="1" x14ac:dyDescent="0.2">
      <c r="A304" s="225">
        <v>233</v>
      </c>
      <c r="B304" s="37"/>
      <c r="C304" s="86" t="s">
        <v>283</v>
      </c>
      <c r="D304" s="10"/>
      <c r="E304" s="19"/>
      <c r="F304" s="159"/>
      <c r="G304" s="303"/>
      <c r="H304" s="268"/>
      <c r="I304" s="487"/>
      <c r="J304" s="487"/>
      <c r="K304" s="487"/>
      <c r="L304" s="491"/>
      <c r="M304" s="487"/>
      <c r="N304" s="487"/>
      <c r="O304" s="487"/>
      <c r="P304" s="487"/>
      <c r="Q304" s="237"/>
      <c r="R304" s="237"/>
      <c r="S304" s="237"/>
      <c r="T304" s="237"/>
      <c r="U304" s="102"/>
      <c r="V304" s="102"/>
      <c r="W304" s="102"/>
      <c r="X304" s="102"/>
      <c r="Y304" s="102"/>
    </row>
    <row r="305" spans="1:25" ht="14.25" customHeight="1" x14ac:dyDescent="0.2">
      <c r="A305" s="225">
        <v>234</v>
      </c>
      <c r="B305" s="37"/>
      <c r="C305" s="86"/>
      <c r="D305" s="10"/>
      <c r="E305" s="19"/>
      <c r="F305" s="159"/>
      <c r="G305" s="303"/>
      <c r="H305" s="268"/>
      <c r="I305" s="487"/>
      <c r="J305" s="487"/>
      <c r="K305" s="487"/>
      <c r="L305" s="491"/>
      <c r="M305" s="487"/>
      <c r="N305" s="487"/>
      <c r="O305" s="487"/>
      <c r="P305" s="487"/>
      <c r="Q305" s="237"/>
      <c r="R305" s="237"/>
      <c r="S305" s="237"/>
      <c r="T305" s="237"/>
      <c r="U305" s="102"/>
      <c r="V305" s="102"/>
      <c r="W305" s="102"/>
      <c r="X305" s="102"/>
      <c r="Y305" s="102"/>
    </row>
    <row r="306" spans="1:25" ht="14.25" customHeight="1" x14ac:dyDescent="0.2">
      <c r="A306" s="225">
        <v>235</v>
      </c>
      <c r="B306" s="84"/>
      <c r="D306" s="14"/>
      <c r="E306" s="15"/>
      <c r="F306" s="167"/>
      <c r="G306" s="315"/>
      <c r="H306" s="283"/>
      <c r="I306" s="487"/>
      <c r="J306" s="487"/>
      <c r="K306" s="487"/>
      <c r="L306" s="491"/>
      <c r="M306" s="487"/>
      <c r="N306" s="487"/>
      <c r="O306" s="487"/>
      <c r="P306" s="487"/>
      <c r="Q306" s="237"/>
      <c r="R306" s="237"/>
      <c r="S306" s="237"/>
      <c r="T306" s="237"/>
      <c r="U306" s="102"/>
      <c r="V306" s="102"/>
      <c r="W306" s="102"/>
      <c r="X306" s="102"/>
      <c r="Y306" s="102"/>
    </row>
    <row r="307" spans="1:25" ht="15" customHeight="1" x14ac:dyDescent="0.25">
      <c r="A307" s="226">
        <v>236</v>
      </c>
      <c r="B307" s="88" t="s">
        <v>181</v>
      </c>
      <c r="C307" s="52"/>
      <c r="D307" s="52"/>
      <c r="E307" s="50"/>
      <c r="F307" s="163"/>
      <c r="G307" s="306">
        <f>SUM(G288:G306)</f>
        <v>375545.45454545459</v>
      </c>
      <c r="H307" s="271"/>
      <c r="I307" s="487"/>
      <c r="J307" s="487"/>
      <c r="K307" s="487"/>
      <c r="L307" s="491"/>
      <c r="M307" s="487"/>
      <c r="N307" s="487"/>
      <c r="O307" s="487"/>
      <c r="P307" s="487"/>
      <c r="Q307" s="237"/>
      <c r="R307" s="237"/>
      <c r="S307" s="237"/>
      <c r="T307" s="237"/>
      <c r="U307" s="102"/>
      <c r="V307" s="102"/>
      <c r="W307" s="102"/>
      <c r="X307" s="102"/>
      <c r="Y307" s="102"/>
    </row>
    <row r="308" spans="1:25" ht="14.25" customHeight="1" x14ac:dyDescent="0.2">
      <c r="A308" s="225"/>
      <c r="B308" s="36"/>
      <c r="C308" s="13"/>
      <c r="D308" s="13"/>
      <c r="E308" s="72"/>
      <c r="F308" s="157"/>
      <c r="G308" s="301"/>
      <c r="H308" s="266"/>
      <c r="I308" s="487"/>
      <c r="J308" s="487"/>
      <c r="K308" s="487"/>
      <c r="L308" s="491"/>
      <c r="M308" s="487"/>
      <c r="N308" s="487"/>
      <c r="O308" s="487"/>
      <c r="P308" s="487"/>
      <c r="Q308" s="237"/>
      <c r="R308" s="237"/>
      <c r="S308" s="237"/>
      <c r="T308" s="237"/>
      <c r="U308" s="102"/>
      <c r="V308" s="102"/>
      <c r="W308" s="102"/>
      <c r="X308" s="102"/>
      <c r="Y308" s="102"/>
    </row>
    <row r="309" spans="1:25" s="5" customFormat="1" ht="15" customHeight="1" x14ac:dyDescent="0.25">
      <c r="A309" s="225"/>
      <c r="B309" s="89" t="s">
        <v>30</v>
      </c>
      <c r="C309" s="54"/>
      <c r="D309" s="54"/>
      <c r="E309" s="78"/>
      <c r="F309" s="170"/>
      <c r="G309" s="318"/>
      <c r="H309" s="286"/>
      <c r="I309" s="489"/>
      <c r="J309" s="489"/>
      <c r="K309" s="489"/>
      <c r="L309" s="491"/>
      <c r="M309" s="489"/>
      <c r="N309" s="489"/>
      <c r="O309" s="489"/>
      <c r="P309" s="489"/>
      <c r="Q309" s="244"/>
      <c r="R309" s="244"/>
      <c r="S309" s="244"/>
      <c r="T309" s="244"/>
      <c r="U309" s="240"/>
      <c r="V309" s="240"/>
      <c r="W309" s="240"/>
      <c r="X309" s="240"/>
      <c r="Y309" s="240"/>
    </row>
    <row r="310" spans="1:25" ht="15" customHeight="1" x14ac:dyDescent="0.25">
      <c r="A310" s="225"/>
      <c r="B310" s="37"/>
      <c r="C310" s="107" t="s">
        <v>9</v>
      </c>
      <c r="D310" s="10"/>
      <c r="E310" s="78"/>
      <c r="F310" s="170"/>
      <c r="G310" s="318"/>
      <c r="H310" s="286"/>
      <c r="I310" s="487"/>
      <c r="J310" s="487"/>
      <c r="K310" s="487"/>
      <c r="L310" s="491"/>
      <c r="M310" s="487"/>
      <c r="N310" s="487"/>
      <c r="O310" s="487"/>
      <c r="P310" s="487"/>
      <c r="Q310" s="237"/>
      <c r="R310" s="237"/>
      <c r="S310" s="237"/>
      <c r="T310" s="237"/>
      <c r="U310" s="102"/>
      <c r="V310" s="102"/>
      <c r="W310" s="102"/>
      <c r="X310" s="102"/>
      <c r="Y310" s="102"/>
    </row>
    <row r="311" spans="1:25" x14ac:dyDescent="0.2">
      <c r="A311" s="225">
        <v>237</v>
      </c>
      <c r="B311" s="37"/>
      <c r="C311" s="10"/>
      <c r="D311" s="10" t="s">
        <v>83</v>
      </c>
      <c r="E311" s="19" t="s">
        <v>84</v>
      </c>
      <c r="F311" s="159" t="s">
        <v>226</v>
      </c>
      <c r="G311" s="303">
        <v>13770</v>
      </c>
      <c r="H311" s="268" t="s">
        <v>426</v>
      </c>
      <c r="I311" s="487"/>
      <c r="J311" s="491"/>
      <c r="K311" s="487"/>
      <c r="L311" s="491"/>
      <c r="M311" s="487"/>
      <c r="N311" s="487"/>
      <c r="O311" s="487"/>
      <c r="P311" s="487"/>
      <c r="Q311" s="237"/>
      <c r="R311" s="237"/>
      <c r="S311" s="237"/>
      <c r="T311" s="237"/>
      <c r="U311" s="102"/>
      <c r="V311" s="102"/>
      <c r="W311" s="102"/>
      <c r="X311" s="102"/>
      <c r="Y311" s="102"/>
    </row>
    <row r="312" spans="1:25" x14ac:dyDescent="0.2">
      <c r="A312" s="225">
        <v>238</v>
      </c>
      <c r="B312" s="37"/>
      <c r="C312" s="10"/>
      <c r="D312" s="10" t="s">
        <v>184</v>
      </c>
      <c r="E312" s="19" t="s">
        <v>185</v>
      </c>
      <c r="F312" s="159">
        <v>2830</v>
      </c>
      <c r="G312" s="303">
        <v>918.00000000000023</v>
      </c>
      <c r="H312" s="268"/>
      <c r="I312" s="487"/>
      <c r="J312" s="491"/>
      <c r="K312" s="487"/>
      <c r="L312" s="491"/>
      <c r="M312" s="487"/>
      <c r="N312" s="487"/>
      <c r="O312" s="487"/>
      <c r="P312" s="487"/>
      <c r="Q312" s="237"/>
      <c r="R312" s="237"/>
      <c r="S312" s="237"/>
      <c r="T312" s="237"/>
      <c r="U312" s="102"/>
      <c r="V312" s="102"/>
      <c r="W312" s="102"/>
      <c r="X312" s="102"/>
      <c r="Y312" s="102"/>
    </row>
    <row r="313" spans="1:25" ht="14.25" customHeight="1" x14ac:dyDescent="0.2">
      <c r="A313" s="225">
        <v>239</v>
      </c>
      <c r="B313" s="37"/>
      <c r="C313" s="10"/>
      <c r="D313" s="10" t="s">
        <v>131</v>
      </c>
      <c r="E313" s="19" t="s">
        <v>132</v>
      </c>
      <c r="F313" s="159" t="s">
        <v>183</v>
      </c>
      <c r="G313" s="303"/>
      <c r="H313" s="268"/>
      <c r="I313" s="487"/>
      <c r="J313" s="487"/>
      <c r="K313" s="487"/>
      <c r="L313" s="491"/>
      <c r="M313" s="487"/>
      <c r="N313" s="487"/>
      <c r="O313" s="487"/>
      <c r="P313" s="487"/>
      <c r="Q313" s="237"/>
      <c r="R313" s="237"/>
      <c r="S313" s="237"/>
      <c r="T313" s="237"/>
      <c r="U313" s="102"/>
      <c r="V313" s="102"/>
      <c r="W313" s="102"/>
      <c r="X313" s="102"/>
      <c r="Y313" s="102"/>
    </row>
    <row r="314" spans="1:25" ht="14.25" customHeight="1" x14ac:dyDescent="0.2">
      <c r="A314" s="225">
        <v>240</v>
      </c>
      <c r="B314" s="37"/>
      <c r="C314" s="10" t="s">
        <v>186</v>
      </c>
      <c r="D314" s="10"/>
      <c r="E314" s="105" t="s">
        <v>221</v>
      </c>
      <c r="F314" s="173" t="s">
        <v>226</v>
      </c>
      <c r="G314" s="321"/>
      <c r="H314" s="290"/>
      <c r="I314" s="487"/>
      <c r="J314" s="487"/>
      <c r="K314" s="487"/>
      <c r="L314" s="491"/>
      <c r="M314" s="487"/>
      <c r="N314" s="487"/>
      <c r="O314" s="487"/>
      <c r="P314" s="487"/>
      <c r="Q314" s="237"/>
      <c r="R314" s="237"/>
      <c r="S314" s="237"/>
      <c r="T314" s="237"/>
      <c r="U314" s="102"/>
      <c r="V314" s="102"/>
      <c r="W314" s="102"/>
      <c r="X314" s="102"/>
      <c r="Y314" s="102"/>
    </row>
    <row r="315" spans="1:25" ht="14.25" customHeight="1" x14ac:dyDescent="0.2">
      <c r="A315" s="225">
        <v>241</v>
      </c>
      <c r="B315" s="37"/>
      <c r="C315" s="10" t="s">
        <v>295</v>
      </c>
      <c r="D315" s="10"/>
      <c r="E315" s="19" t="s">
        <v>97</v>
      </c>
      <c r="F315" s="159" t="s">
        <v>226</v>
      </c>
      <c r="G315" s="303"/>
      <c r="H315" s="268"/>
      <c r="I315" s="487"/>
      <c r="J315" s="487"/>
      <c r="K315" s="487"/>
      <c r="L315" s="491"/>
      <c r="M315" s="487"/>
      <c r="N315" s="487"/>
      <c r="O315" s="487"/>
      <c r="P315" s="487"/>
      <c r="Q315" s="237"/>
      <c r="R315" s="237"/>
      <c r="S315" s="237"/>
      <c r="T315" s="237"/>
      <c r="U315" s="102"/>
      <c r="V315" s="102"/>
      <c r="W315" s="102"/>
      <c r="X315" s="102"/>
      <c r="Y315" s="102"/>
    </row>
    <row r="316" spans="1:25" ht="14.25" customHeight="1" x14ac:dyDescent="0.2">
      <c r="A316" s="225">
        <v>242</v>
      </c>
      <c r="B316" s="37"/>
      <c r="C316" s="10" t="s">
        <v>98</v>
      </c>
      <c r="D316" s="10"/>
      <c r="E316" s="19" t="s">
        <v>99</v>
      </c>
      <c r="F316" s="159" t="s">
        <v>226</v>
      </c>
      <c r="G316" s="303"/>
      <c r="H316" s="268"/>
      <c r="I316" s="487"/>
      <c r="J316" s="487"/>
      <c r="K316" s="487"/>
      <c r="L316" s="491"/>
      <c r="M316" s="487"/>
      <c r="N316" s="487"/>
      <c r="O316" s="487"/>
      <c r="P316" s="487"/>
      <c r="Q316" s="237"/>
      <c r="R316" s="237"/>
      <c r="S316" s="237"/>
      <c r="T316" s="237"/>
      <c r="U316" s="102"/>
      <c r="V316" s="102"/>
      <c r="W316" s="102"/>
      <c r="X316" s="102"/>
      <c r="Y316" s="102"/>
    </row>
    <row r="317" spans="1:25" ht="14.25" customHeight="1" x14ac:dyDescent="0.2">
      <c r="A317" s="225">
        <v>243</v>
      </c>
      <c r="B317" s="37"/>
      <c r="C317" s="10" t="s">
        <v>100</v>
      </c>
      <c r="D317" s="10"/>
      <c r="E317" s="19" t="s">
        <v>101</v>
      </c>
      <c r="F317" s="159" t="s">
        <v>226</v>
      </c>
      <c r="G317" s="303"/>
      <c r="H317" s="268"/>
      <c r="I317" s="487"/>
      <c r="J317" s="487"/>
      <c r="K317" s="487"/>
      <c r="L317" s="491"/>
      <c r="M317" s="487"/>
      <c r="N317" s="487"/>
      <c r="O317" s="487"/>
      <c r="P317" s="487"/>
      <c r="Q317" s="237"/>
      <c r="R317" s="237"/>
      <c r="S317" s="237"/>
      <c r="T317" s="237"/>
      <c r="U317" s="102"/>
      <c r="V317" s="102"/>
      <c r="W317" s="102"/>
      <c r="X317" s="102"/>
      <c r="Y317" s="102"/>
    </row>
    <row r="318" spans="1:25" ht="14.25" customHeight="1" x14ac:dyDescent="0.2">
      <c r="A318" s="225">
        <v>244</v>
      </c>
      <c r="B318" s="37"/>
      <c r="C318" s="10" t="s">
        <v>219</v>
      </c>
      <c r="D318" s="10"/>
      <c r="E318" s="19" t="s">
        <v>220</v>
      </c>
      <c r="F318" s="159" t="s">
        <v>226</v>
      </c>
      <c r="G318" s="303"/>
      <c r="H318" s="268"/>
      <c r="I318" s="487"/>
      <c r="J318" s="487"/>
      <c r="K318" s="487"/>
      <c r="L318" s="491"/>
      <c r="M318" s="487"/>
      <c r="N318" s="487"/>
      <c r="O318" s="487"/>
      <c r="P318" s="487"/>
      <c r="Q318" s="237"/>
      <c r="R318" s="237"/>
      <c r="S318" s="237"/>
      <c r="T318" s="237"/>
      <c r="U318" s="102"/>
      <c r="V318" s="102"/>
      <c r="W318" s="102"/>
      <c r="X318" s="102"/>
      <c r="Y318" s="102"/>
    </row>
    <row r="319" spans="1:25" ht="14.25" customHeight="1" x14ac:dyDescent="0.2">
      <c r="A319" s="225">
        <v>245</v>
      </c>
      <c r="B319" s="37"/>
      <c r="C319" s="10" t="s">
        <v>102</v>
      </c>
      <c r="D319" s="10"/>
      <c r="E319" s="19" t="s">
        <v>103</v>
      </c>
      <c r="F319" s="159" t="s">
        <v>226</v>
      </c>
      <c r="G319" s="303"/>
      <c r="H319" s="268"/>
      <c r="I319" s="487"/>
      <c r="J319" s="487"/>
      <c r="K319" s="487"/>
      <c r="L319" s="491"/>
      <c r="M319" s="487"/>
      <c r="N319" s="487"/>
      <c r="O319" s="487"/>
      <c r="P319" s="487"/>
      <c r="Q319" s="237"/>
      <c r="R319" s="237"/>
      <c r="S319" s="237"/>
      <c r="T319" s="237"/>
      <c r="U319" s="102"/>
      <c r="V319" s="102"/>
      <c r="W319" s="102"/>
      <c r="X319" s="102"/>
      <c r="Y319" s="102"/>
    </row>
    <row r="320" spans="1:25" ht="14.25" customHeight="1" x14ac:dyDescent="0.2">
      <c r="A320" s="225">
        <v>246</v>
      </c>
      <c r="B320" s="37"/>
      <c r="C320" s="10" t="s">
        <v>104</v>
      </c>
      <c r="D320" s="10"/>
      <c r="E320" s="19" t="s">
        <v>105</v>
      </c>
      <c r="F320" s="159" t="s">
        <v>226</v>
      </c>
      <c r="G320" s="303"/>
      <c r="H320" s="268"/>
      <c r="I320" s="487"/>
      <c r="J320" s="487"/>
      <c r="K320" s="487"/>
      <c r="L320" s="491"/>
      <c r="M320" s="487"/>
      <c r="N320" s="487"/>
      <c r="O320" s="487"/>
      <c r="P320" s="487"/>
      <c r="Q320" s="237"/>
      <c r="R320" s="237"/>
      <c r="S320" s="237"/>
      <c r="T320" s="237"/>
      <c r="U320" s="102"/>
      <c r="V320" s="102"/>
      <c r="W320" s="102"/>
      <c r="X320" s="102"/>
      <c r="Y320" s="102"/>
    </row>
    <row r="321" spans="1:25" ht="14.25" customHeight="1" x14ac:dyDescent="0.2">
      <c r="A321" s="225">
        <v>247</v>
      </c>
      <c r="B321" s="37"/>
      <c r="C321" s="86"/>
      <c r="D321" s="10"/>
      <c r="E321" s="19"/>
      <c r="F321" s="159"/>
      <c r="G321" s="303"/>
      <c r="H321" s="268"/>
      <c r="I321" s="487"/>
      <c r="J321" s="487"/>
      <c r="K321" s="487"/>
      <c r="L321" s="491"/>
      <c r="M321" s="487"/>
      <c r="N321" s="487"/>
      <c r="O321" s="487"/>
      <c r="P321" s="487"/>
      <c r="Q321" s="237"/>
      <c r="R321" s="237"/>
      <c r="S321" s="237"/>
      <c r="T321" s="237"/>
      <c r="U321" s="102"/>
      <c r="V321" s="102"/>
      <c r="W321" s="102"/>
      <c r="X321" s="102"/>
      <c r="Y321" s="102"/>
    </row>
    <row r="322" spans="1:25" ht="14.25" customHeight="1" x14ac:dyDescent="0.2">
      <c r="A322" s="225">
        <v>248</v>
      </c>
      <c r="B322" s="84"/>
      <c r="D322" s="14"/>
      <c r="E322" s="15"/>
      <c r="F322" s="167"/>
      <c r="G322" s="315"/>
      <c r="H322" s="283"/>
      <c r="I322" s="487"/>
      <c r="J322" s="487"/>
      <c r="K322" s="487"/>
      <c r="L322" s="491"/>
      <c r="M322" s="487"/>
      <c r="N322" s="487"/>
      <c r="O322" s="487"/>
      <c r="P322" s="487"/>
      <c r="Q322" s="237"/>
      <c r="R322" s="237"/>
      <c r="S322" s="237"/>
      <c r="T322" s="237"/>
      <c r="U322" s="102"/>
      <c r="V322" s="102"/>
      <c r="W322" s="102"/>
      <c r="X322" s="102"/>
      <c r="Y322" s="102"/>
    </row>
    <row r="323" spans="1:25" ht="15" customHeight="1" x14ac:dyDescent="0.25">
      <c r="A323" s="226">
        <v>249</v>
      </c>
      <c r="B323" s="88" t="s">
        <v>188</v>
      </c>
      <c r="C323" s="52"/>
      <c r="D323" s="52"/>
      <c r="E323" s="50"/>
      <c r="F323" s="163"/>
      <c r="G323" s="306">
        <f>SUM(G310:G322)</f>
        <v>14688</v>
      </c>
      <c r="H323" s="271"/>
      <c r="I323" s="487"/>
      <c r="J323" s="487"/>
      <c r="K323" s="487"/>
      <c r="L323" s="491"/>
      <c r="M323" s="487"/>
      <c r="N323" s="487"/>
      <c r="O323" s="487"/>
      <c r="P323" s="487"/>
      <c r="Q323" s="237"/>
      <c r="R323" s="237"/>
      <c r="S323" s="237"/>
      <c r="T323" s="237"/>
      <c r="U323" s="102"/>
      <c r="V323" s="102"/>
      <c r="W323" s="102"/>
      <c r="X323" s="102"/>
      <c r="Y323" s="102"/>
    </row>
    <row r="324" spans="1:25" s="14" customFormat="1" ht="15" customHeight="1" x14ac:dyDescent="0.25">
      <c r="A324" s="223"/>
      <c r="B324" s="82"/>
      <c r="C324" s="59"/>
      <c r="D324" s="59"/>
      <c r="E324" s="23"/>
      <c r="F324" s="162"/>
      <c r="G324" s="304"/>
      <c r="H324" s="269"/>
      <c r="I324" s="487"/>
      <c r="J324" s="487"/>
      <c r="K324" s="487"/>
      <c r="L324" s="491"/>
      <c r="M324" s="487"/>
      <c r="N324" s="487"/>
      <c r="O324" s="487"/>
      <c r="P324" s="487"/>
      <c r="Q324" s="237"/>
      <c r="R324" s="237"/>
      <c r="S324" s="237"/>
      <c r="T324" s="237"/>
      <c r="U324" s="102"/>
      <c r="V324" s="102"/>
      <c r="W324" s="102"/>
      <c r="X324" s="102"/>
      <c r="Y324" s="102"/>
    </row>
    <row r="325" spans="1:25" s="14" customFormat="1" ht="15" customHeight="1" thickBot="1" x14ac:dyDescent="0.3">
      <c r="A325" s="222"/>
      <c r="B325" s="35"/>
      <c r="C325" s="21"/>
      <c r="D325" s="21"/>
      <c r="E325" s="15"/>
      <c r="F325" s="167"/>
      <c r="G325" s="315"/>
      <c r="H325" s="283"/>
      <c r="I325" s="487"/>
      <c r="J325" s="487"/>
      <c r="K325" s="487"/>
      <c r="L325" s="491"/>
      <c r="M325" s="487"/>
      <c r="N325" s="487"/>
      <c r="O325" s="487"/>
      <c r="P325" s="487"/>
      <c r="Q325" s="237"/>
      <c r="R325" s="237"/>
      <c r="S325" s="237"/>
      <c r="T325" s="237"/>
      <c r="U325" s="102"/>
      <c r="V325" s="102"/>
      <c r="W325" s="102"/>
      <c r="X325" s="102"/>
      <c r="Y325" s="102"/>
    </row>
    <row r="326" spans="1:25" ht="15.75" customHeight="1" thickBot="1" x14ac:dyDescent="0.3">
      <c r="A326" s="328">
        <v>250</v>
      </c>
      <c r="B326" s="76" t="s">
        <v>230</v>
      </c>
      <c r="C326" s="77"/>
      <c r="D326" s="77"/>
      <c r="E326" s="46"/>
      <c r="F326" s="166"/>
      <c r="G326" s="312">
        <f>+G171+G188+G203+G228+G253+G285+G307+G323</f>
        <v>2474839.3605317371</v>
      </c>
      <c r="H326" s="287"/>
      <c r="I326" s="487"/>
      <c r="J326" s="487"/>
      <c r="K326" s="487"/>
      <c r="L326" s="491"/>
      <c r="M326" s="487"/>
      <c r="N326" s="487"/>
      <c r="O326" s="487"/>
      <c r="P326" s="487"/>
      <c r="Q326" s="237"/>
      <c r="R326" s="237"/>
      <c r="S326" s="237"/>
      <c r="T326" s="237"/>
      <c r="U326" s="102"/>
      <c r="V326" s="102"/>
      <c r="W326" s="102"/>
      <c r="X326" s="102"/>
      <c r="Y326" s="102"/>
    </row>
    <row r="327" spans="1:25" ht="14.25" customHeight="1" thickBot="1" x14ac:dyDescent="0.25">
      <c r="A327" s="230"/>
      <c r="B327" s="36"/>
      <c r="C327" s="13"/>
      <c r="D327" s="13"/>
      <c r="E327" s="98"/>
      <c r="F327" s="164"/>
      <c r="G327" s="310"/>
      <c r="H327" s="291"/>
      <c r="I327" s="487"/>
      <c r="J327" s="487"/>
      <c r="K327" s="487"/>
      <c r="L327" s="491"/>
      <c r="M327" s="487"/>
      <c r="N327" s="487"/>
      <c r="O327" s="487"/>
      <c r="P327" s="487"/>
      <c r="Q327" s="237"/>
      <c r="R327" s="237"/>
      <c r="S327" s="237"/>
      <c r="T327" s="237"/>
      <c r="U327" s="102"/>
      <c r="V327" s="102"/>
      <c r="W327" s="102"/>
      <c r="X327" s="102"/>
      <c r="Y327" s="102"/>
    </row>
    <row r="328" spans="1:25" ht="15.75" customHeight="1" thickBot="1" x14ac:dyDescent="0.3">
      <c r="A328" s="231"/>
      <c r="B328" s="76" t="s">
        <v>189</v>
      </c>
      <c r="C328" s="77"/>
      <c r="D328" s="77"/>
      <c r="E328" s="122"/>
      <c r="F328" s="174"/>
      <c r="G328" s="322"/>
      <c r="H328" s="292"/>
      <c r="I328" s="487"/>
      <c r="J328" s="487"/>
      <c r="K328" s="487"/>
      <c r="L328" s="491"/>
      <c r="M328" s="487"/>
      <c r="N328" s="487"/>
      <c r="O328" s="487"/>
      <c r="P328" s="487"/>
      <c r="Q328" s="237"/>
      <c r="R328" s="237"/>
      <c r="S328" s="237"/>
      <c r="T328" s="237"/>
      <c r="U328" s="102"/>
      <c r="V328" s="102"/>
      <c r="W328" s="102"/>
      <c r="X328" s="102"/>
      <c r="Y328" s="102"/>
    </row>
    <row r="329" spans="1:25" s="5" customFormat="1" ht="15" customHeight="1" x14ac:dyDescent="0.25">
      <c r="A329" s="225"/>
      <c r="B329" s="89" t="s">
        <v>288</v>
      </c>
      <c r="C329" s="54"/>
      <c r="D329" s="54"/>
      <c r="E329" s="78"/>
      <c r="F329" s="170"/>
      <c r="G329" s="318"/>
      <c r="H329" s="286"/>
      <c r="I329" s="489"/>
      <c r="J329" s="489"/>
      <c r="K329" s="489"/>
      <c r="L329" s="491"/>
      <c r="M329" s="489"/>
      <c r="N329" s="489"/>
      <c r="O329" s="489"/>
      <c r="P329" s="489"/>
      <c r="Q329" s="244"/>
      <c r="R329" s="244"/>
      <c r="S329" s="244"/>
      <c r="T329" s="244"/>
      <c r="U329" s="240"/>
      <c r="V329" s="240"/>
      <c r="W329" s="240"/>
      <c r="X329" s="240"/>
      <c r="Y329" s="240"/>
    </row>
    <row r="330" spans="1:25" ht="14.25" customHeight="1" x14ac:dyDescent="0.2">
      <c r="A330" s="225">
        <v>251</v>
      </c>
      <c r="B330" s="37"/>
      <c r="C330" s="10" t="s">
        <v>190</v>
      </c>
      <c r="D330" s="10"/>
      <c r="E330" s="19" t="s">
        <v>222</v>
      </c>
      <c r="F330" s="159">
        <v>3100</v>
      </c>
      <c r="G330" s="303">
        <v>0</v>
      </c>
      <c r="H330" s="268"/>
      <c r="I330" s="487"/>
      <c r="J330" s="487"/>
      <c r="K330" s="487"/>
      <c r="L330" s="491"/>
      <c r="M330" s="487"/>
      <c r="N330" s="487"/>
      <c r="O330" s="487"/>
      <c r="P330" s="487"/>
      <c r="Q330" s="237"/>
      <c r="R330" s="237"/>
      <c r="S330" s="237"/>
      <c r="T330" s="237"/>
      <c r="U330" s="102"/>
      <c r="V330" s="102"/>
      <c r="W330" s="102"/>
      <c r="X330" s="102"/>
      <c r="Y330" s="102"/>
    </row>
    <row r="331" spans="1:25" ht="14.25" customHeight="1" x14ac:dyDescent="0.2">
      <c r="A331" s="225">
        <v>252</v>
      </c>
      <c r="B331" s="37"/>
      <c r="C331" s="10" t="s">
        <v>250</v>
      </c>
      <c r="D331" s="10"/>
      <c r="E331" s="19" t="s">
        <v>251</v>
      </c>
      <c r="F331" s="159" t="s">
        <v>191</v>
      </c>
      <c r="G331" s="303"/>
      <c r="H331" s="268"/>
      <c r="I331" s="487"/>
      <c r="J331" s="487"/>
      <c r="K331" s="487"/>
      <c r="L331" s="491"/>
      <c r="M331" s="487"/>
      <c r="N331" s="487"/>
      <c r="O331" s="487"/>
      <c r="P331" s="487"/>
      <c r="Q331" s="237"/>
      <c r="R331" s="237"/>
      <c r="S331" s="237"/>
      <c r="T331" s="237"/>
      <c r="U331" s="102"/>
      <c r="V331" s="102"/>
      <c r="W331" s="102"/>
      <c r="X331" s="102"/>
      <c r="Y331" s="102"/>
    </row>
    <row r="332" spans="1:25" ht="14.25" customHeight="1" x14ac:dyDescent="0.2">
      <c r="A332" s="225">
        <v>253</v>
      </c>
      <c r="B332" s="37"/>
      <c r="C332" s="10" t="s">
        <v>192</v>
      </c>
      <c r="D332" s="10"/>
      <c r="E332" s="19" t="s">
        <v>193</v>
      </c>
      <c r="F332" s="159" t="s">
        <v>191</v>
      </c>
      <c r="G332" s="303">
        <f>+SUM('KIPP Assumptions'!C$65:C$68)</f>
        <v>174400</v>
      </c>
      <c r="H332" s="268"/>
      <c r="I332" s="487"/>
      <c r="J332" s="487"/>
      <c r="K332" s="487"/>
      <c r="L332" s="491"/>
      <c r="M332" s="487"/>
      <c r="N332" s="487"/>
      <c r="O332" s="487"/>
      <c r="P332" s="487"/>
      <c r="Q332" s="237"/>
      <c r="R332" s="237"/>
      <c r="S332" s="237"/>
      <c r="T332" s="237"/>
      <c r="U332" s="102"/>
      <c r="V332" s="102"/>
      <c r="W332" s="102"/>
      <c r="X332" s="102"/>
      <c r="Y332" s="102"/>
    </row>
    <row r="333" spans="1:25" ht="14.25" customHeight="1" x14ac:dyDescent="0.2">
      <c r="A333" s="225">
        <v>254</v>
      </c>
      <c r="B333" s="37"/>
      <c r="C333" s="10" t="s">
        <v>227</v>
      </c>
      <c r="D333" s="10"/>
      <c r="E333" s="19" t="s">
        <v>224</v>
      </c>
      <c r="F333" s="159" t="s">
        <v>191</v>
      </c>
      <c r="G333" s="303"/>
      <c r="H333" s="268"/>
      <c r="I333" s="487"/>
      <c r="J333" s="487"/>
      <c r="K333" s="487"/>
      <c r="L333" s="491"/>
      <c r="M333" s="487"/>
      <c r="N333" s="487"/>
      <c r="O333" s="487"/>
      <c r="P333" s="487"/>
      <c r="Q333" s="237"/>
      <c r="R333" s="237"/>
      <c r="S333" s="237"/>
      <c r="T333" s="237"/>
      <c r="U333" s="102"/>
      <c r="V333" s="102"/>
      <c r="W333" s="102"/>
      <c r="X333" s="102"/>
      <c r="Y333" s="102"/>
    </row>
    <row r="334" spans="1:25" ht="14.25" customHeight="1" x14ac:dyDescent="0.2">
      <c r="A334" s="225">
        <v>255</v>
      </c>
      <c r="B334" s="37"/>
      <c r="C334" s="10" t="s">
        <v>110</v>
      </c>
      <c r="D334" s="10"/>
      <c r="E334" s="19" t="s">
        <v>90</v>
      </c>
      <c r="F334" s="159" t="s">
        <v>191</v>
      </c>
      <c r="G334" s="303"/>
      <c r="H334" s="268"/>
      <c r="I334" s="487"/>
      <c r="J334" s="487"/>
      <c r="K334" s="487"/>
      <c r="L334" s="491"/>
      <c r="M334" s="487"/>
      <c r="N334" s="487"/>
      <c r="O334" s="487"/>
      <c r="P334" s="487"/>
      <c r="Q334" s="237"/>
      <c r="R334" s="237"/>
      <c r="S334" s="237"/>
      <c r="T334" s="237"/>
      <c r="U334" s="102"/>
      <c r="V334" s="102"/>
      <c r="W334" s="102"/>
      <c r="X334" s="102"/>
      <c r="Y334" s="102"/>
    </row>
    <row r="335" spans="1:25" ht="14.25" customHeight="1" x14ac:dyDescent="0.2">
      <c r="A335" s="225">
        <v>256</v>
      </c>
      <c r="B335" s="37"/>
      <c r="C335" s="10" t="s">
        <v>0</v>
      </c>
      <c r="D335" s="10"/>
      <c r="E335" s="19" t="s">
        <v>194</v>
      </c>
      <c r="F335" s="159" t="s">
        <v>191</v>
      </c>
      <c r="G335" s="303"/>
      <c r="H335" s="268"/>
      <c r="I335" s="487"/>
      <c r="J335" s="487"/>
      <c r="K335" s="487"/>
      <c r="L335" s="491"/>
      <c r="M335" s="487"/>
      <c r="N335" s="487"/>
      <c r="O335" s="487"/>
      <c r="P335" s="487"/>
      <c r="Q335" s="237"/>
      <c r="R335" s="237"/>
      <c r="S335" s="237"/>
      <c r="T335" s="237"/>
      <c r="U335" s="102"/>
      <c r="V335" s="102"/>
      <c r="W335" s="102"/>
      <c r="X335" s="102"/>
      <c r="Y335" s="102"/>
    </row>
    <row r="336" spans="1:25" x14ac:dyDescent="0.2">
      <c r="A336" s="225">
        <v>257</v>
      </c>
      <c r="B336" s="37"/>
      <c r="C336" s="10" t="s">
        <v>187</v>
      </c>
      <c r="D336" s="10"/>
      <c r="E336" s="19" t="s">
        <v>149</v>
      </c>
      <c r="F336" s="159" t="s">
        <v>191</v>
      </c>
      <c r="G336" s="303">
        <v>5406</v>
      </c>
      <c r="H336" s="268" t="s">
        <v>516</v>
      </c>
      <c r="I336" s="487"/>
      <c r="J336" s="491"/>
      <c r="K336" s="487"/>
      <c r="L336" s="491"/>
      <c r="M336" s="487"/>
      <c r="N336" s="487"/>
      <c r="O336" s="487"/>
      <c r="P336" s="487"/>
      <c r="Q336" s="237"/>
      <c r="R336" s="237"/>
      <c r="S336" s="237"/>
      <c r="T336" s="237"/>
      <c r="U336" s="102"/>
      <c r="V336" s="102"/>
      <c r="W336" s="102"/>
      <c r="X336" s="102"/>
      <c r="Y336" s="102"/>
    </row>
    <row r="337" spans="1:25" ht="14.25" customHeight="1" x14ac:dyDescent="0.2">
      <c r="A337" s="225">
        <v>258</v>
      </c>
      <c r="B337" s="37"/>
      <c r="C337" s="10" t="s">
        <v>228</v>
      </c>
      <c r="D337" s="10"/>
      <c r="E337" s="19" t="s">
        <v>229</v>
      </c>
      <c r="F337" s="159">
        <v>3100</v>
      </c>
      <c r="G337" s="303"/>
      <c r="H337" s="268"/>
      <c r="I337" s="487"/>
      <c r="J337" s="487"/>
      <c r="K337" s="487"/>
      <c r="L337" s="491"/>
      <c r="M337" s="487"/>
      <c r="N337" s="487"/>
      <c r="O337" s="487"/>
      <c r="P337" s="487"/>
      <c r="Q337" s="237"/>
      <c r="R337" s="237"/>
      <c r="S337" s="237"/>
      <c r="T337" s="237"/>
      <c r="U337" s="102"/>
      <c r="V337" s="102"/>
      <c r="W337" s="102"/>
      <c r="X337" s="102"/>
      <c r="Y337" s="102"/>
    </row>
    <row r="338" spans="1:25" ht="14.25" customHeight="1" x14ac:dyDescent="0.2">
      <c r="A338" s="225">
        <v>259</v>
      </c>
      <c r="B338" s="37"/>
      <c r="C338" s="10" t="s">
        <v>143</v>
      </c>
      <c r="D338" s="10"/>
      <c r="E338" s="19" t="s">
        <v>144</v>
      </c>
      <c r="F338" s="159" t="s">
        <v>191</v>
      </c>
      <c r="G338" s="303"/>
      <c r="H338" s="268"/>
      <c r="I338" s="487"/>
      <c r="J338" s="487"/>
      <c r="K338" s="487"/>
      <c r="L338" s="491"/>
      <c r="M338" s="487"/>
      <c r="N338" s="487"/>
      <c r="O338" s="487"/>
      <c r="P338" s="487"/>
      <c r="Q338" s="237"/>
      <c r="R338" s="237"/>
      <c r="S338" s="237"/>
      <c r="T338" s="237"/>
      <c r="U338" s="102"/>
      <c r="V338" s="102"/>
      <c r="W338" s="102"/>
      <c r="X338" s="102"/>
      <c r="Y338" s="102"/>
    </row>
    <row r="339" spans="1:25" ht="14.25" customHeight="1" x14ac:dyDescent="0.2">
      <c r="A339" s="225">
        <v>260</v>
      </c>
      <c r="B339" s="37"/>
      <c r="C339" s="10" t="s">
        <v>93</v>
      </c>
      <c r="D339" s="10"/>
      <c r="E339" s="19" t="s">
        <v>94</v>
      </c>
      <c r="F339" s="159" t="s">
        <v>191</v>
      </c>
      <c r="G339" s="303"/>
      <c r="H339" s="268"/>
      <c r="I339" s="487"/>
      <c r="J339" s="487"/>
      <c r="K339" s="487"/>
      <c r="L339" s="491"/>
      <c r="M339" s="487"/>
      <c r="N339" s="487"/>
      <c r="O339" s="487"/>
      <c r="P339" s="487"/>
      <c r="Q339" s="237"/>
      <c r="R339" s="237"/>
      <c r="S339" s="237"/>
      <c r="T339" s="237"/>
      <c r="U339" s="102"/>
      <c r="V339" s="102"/>
      <c r="W339" s="102"/>
      <c r="X339" s="102"/>
      <c r="Y339" s="102"/>
    </row>
    <row r="340" spans="1:25" ht="14.25" customHeight="1" x14ac:dyDescent="0.2">
      <c r="A340" s="225">
        <v>261</v>
      </c>
      <c r="B340" s="37"/>
      <c r="C340" s="10" t="s">
        <v>295</v>
      </c>
      <c r="D340" s="10"/>
      <c r="E340" s="19" t="s">
        <v>97</v>
      </c>
      <c r="F340" s="159" t="s">
        <v>12</v>
      </c>
      <c r="G340" s="303"/>
      <c r="H340" s="268"/>
      <c r="I340" s="487"/>
      <c r="J340" s="487"/>
      <c r="K340" s="487"/>
      <c r="L340" s="491"/>
      <c r="M340" s="487"/>
      <c r="N340" s="487"/>
      <c r="O340" s="487"/>
      <c r="P340" s="487"/>
      <c r="Q340" s="237"/>
      <c r="R340" s="237"/>
      <c r="S340" s="237"/>
      <c r="T340" s="237"/>
      <c r="U340" s="102"/>
      <c r="V340" s="102"/>
      <c r="W340" s="102"/>
      <c r="X340" s="102"/>
      <c r="Y340" s="102"/>
    </row>
    <row r="341" spans="1:25" ht="14.25" customHeight="1" x14ac:dyDescent="0.2">
      <c r="A341" s="225">
        <v>262</v>
      </c>
      <c r="B341" s="37"/>
      <c r="C341" s="10" t="s">
        <v>98</v>
      </c>
      <c r="D341" s="10"/>
      <c r="E341" s="19" t="s">
        <v>99</v>
      </c>
      <c r="F341" s="159" t="s">
        <v>12</v>
      </c>
      <c r="G341" s="303"/>
      <c r="H341" s="268"/>
      <c r="I341" s="487"/>
      <c r="J341" s="487"/>
      <c r="K341" s="487"/>
      <c r="L341" s="491"/>
      <c r="M341" s="487"/>
      <c r="N341" s="487"/>
      <c r="O341" s="487"/>
      <c r="P341" s="487"/>
      <c r="Q341" s="237"/>
      <c r="R341" s="237"/>
      <c r="S341" s="237"/>
      <c r="T341" s="237"/>
      <c r="U341" s="102"/>
      <c r="V341" s="102"/>
      <c r="W341" s="102"/>
      <c r="X341" s="102"/>
      <c r="Y341" s="102"/>
    </row>
    <row r="342" spans="1:25" ht="14.25" customHeight="1" x14ac:dyDescent="0.2">
      <c r="A342" s="225">
        <v>263</v>
      </c>
      <c r="B342" s="37"/>
      <c r="C342" s="10" t="s">
        <v>100</v>
      </c>
      <c r="D342" s="10"/>
      <c r="E342" s="19" t="s">
        <v>101</v>
      </c>
      <c r="F342" s="159" t="s">
        <v>12</v>
      </c>
      <c r="G342" s="303"/>
      <c r="H342" s="268"/>
      <c r="I342" s="487"/>
      <c r="J342" s="487"/>
      <c r="K342" s="487"/>
      <c r="L342" s="491"/>
      <c r="M342" s="487"/>
      <c r="N342" s="487"/>
      <c r="O342" s="487"/>
      <c r="P342" s="487"/>
      <c r="Q342" s="237"/>
      <c r="R342" s="237"/>
      <c r="S342" s="237"/>
      <c r="T342" s="237"/>
      <c r="U342" s="102"/>
      <c r="V342" s="102"/>
      <c r="W342" s="102"/>
      <c r="X342" s="102"/>
      <c r="Y342" s="102"/>
    </row>
    <row r="343" spans="1:25" ht="14.25" customHeight="1" x14ac:dyDescent="0.2">
      <c r="A343" s="225">
        <v>264</v>
      </c>
      <c r="B343" s="37"/>
      <c r="C343" s="10" t="s">
        <v>219</v>
      </c>
      <c r="D343" s="10"/>
      <c r="E343" s="19" t="s">
        <v>220</v>
      </c>
      <c r="F343" s="159" t="s">
        <v>12</v>
      </c>
      <c r="G343" s="303"/>
      <c r="H343" s="268"/>
      <c r="I343" s="487"/>
      <c r="J343" s="487"/>
      <c r="K343" s="487"/>
      <c r="L343" s="491"/>
      <c r="M343" s="487"/>
      <c r="N343" s="487"/>
      <c r="O343" s="487"/>
      <c r="P343" s="487"/>
      <c r="Q343" s="237"/>
      <c r="R343" s="237"/>
      <c r="S343" s="237"/>
      <c r="T343" s="237"/>
      <c r="U343" s="102"/>
      <c r="V343" s="102"/>
      <c r="W343" s="102"/>
      <c r="X343" s="102"/>
      <c r="Y343" s="102"/>
    </row>
    <row r="344" spans="1:25" ht="14.25" customHeight="1" x14ac:dyDescent="0.2">
      <c r="A344" s="225">
        <v>265</v>
      </c>
      <c r="B344" s="37"/>
      <c r="C344" s="10" t="s">
        <v>102</v>
      </c>
      <c r="D344" s="10"/>
      <c r="E344" s="19" t="s">
        <v>103</v>
      </c>
      <c r="F344" s="159" t="s">
        <v>12</v>
      </c>
      <c r="G344" s="303"/>
      <c r="H344" s="268"/>
      <c r="I344" s="487"/>
      <c r="J344" s="487"/>
      <c r="K344" s="487"/>
      <c r="L344" s="491"/>
      <c r="M344" s="487"/>
      <c r="N344" s="487"/>
      <c r="O344" s="487"/>
      <c r="P344" s="487"/>
      <c r="Q344" s="237"/>
      <c r="R344" s="237"/>
      <c r="S344" s="237"/>
      <c r="T344" s="237"/>
      <c r="U344" s="102"/>
      <c r="V344" s="102"/>
      <c r="W344" s="102"/>
      <c r="X344" s="102"/>
      <c r="Y344" s="102"/>
    </row>
    <row r="345" spans="1:25" ht="14.25" customHeight="1" x14ac:dyDescent="0.2">
      <c r="A345" s="225">
        <v>266</v>
      </c>
      <c r="B345" s="37"/>
      <c r="C345" s="10" t="s">
        <v>104</v>
      </c>
      <c r="D345" s="10"/>
      <c r="E345" s="19" t="s">
        <v>105</v>
      </c>
      <c r="F345" s="159" t="s">
        <v>12</v>
      </c>
      <c r="G345" s="303"/>
      <c r="H345" s="268"/>
      <c r="I345" s="487"/>
      <c r="J345" s="487"/>
      <c r="K345" s="487"/>
      <c r="L345" s="491"/>
      <c r="M345" s="487"/>
      <c r="N345" s="487"/>
      <c r="O345" s="487"/>
      <c r="P345" s="487"/>
      <c r="Q345" s="237"/>
      <c r="R345" s="237"/>
      <c r="S345" s="237"/>
      <c r="T345" s="237"/>
      <c r="U345" s="102"/>
      <c r="V345" s="102"/>
      <c r="W345" s="102"/>
      <c r="X345" s="102"/>
      <c r="Y345" s="102"/>
    </row>
    <row r="346" spans="1:25" ht="14.25" customHeight="1" x14ac:dyDescent="0.2">
      <c r="A346" s="225">
        <v>267</v>
      </c>
      <c r="B346" s="37"/>
      <c r="C346" s="86" t="s">
        <v>283</v>
      </c>
      <c r="D346" s="10"/>
      <c r="E346" s="19"/>
      <c r="F346" s="159"/>
      <c r="G346" s="303"/>
      <c r="H346" s="268"/>
      <c r="I346" s="487"/>
      <c r="J346" s="487"/>
      <c r="K346" s="487"/>
      <c r="L346" s="491"/>
      <c r="M346" s="487"/>
      <c r="N346" s="487"/>
      <c r="O346" s="487"/>
      <c r="P346" s="487"/>
      <c r="Q346" s="237"/>
      <c r="R346" s="237"/>
      <c r="S346" s="237"/>
      <c r="T346" s="237"/>
      <c r="U346" s="102"/>
      <c r="V346" s="102"/>
      <c r="W346" s="102"/>
      <c r="X346" s="102"/>
      <c r="Y346" s="102"/>
    </row>
    <row r="347" spans="1:25" ht="14.25" customHeight="1" x14ac:dyDescent="0.2">
      <c r="A347" s="225">
        <v>268</v>
      </c>
      <c r="B347" s="37"/>
      <c r="C347" s="86"/>
      <c r="D347" s="10"/>
      <c r="E347" s="19"/>
      <c r="F347" s="159"/>
      <c r="G347" s="303"/>
      <c r="H347" s="268"/>
      <c r="I347" s="487"/>
      <c r="J347" s="487"/>
      <c r="K347" s="487"/>
      <c r="L347" s="491"/>
      <c r="M347" s="487"/>
      <c r="N347" s="487"/>
      <c r="O347" s="487"/>
      <c r="P347" s="487"/>
      <c r="Q347" s="237"/>
      <c r="R347" s="237"/>
      <c r="S347" s="237"/>
      <c r="T347" s="237"/>
      <c r="U347" s="102"/>
      <c r="V347" s="102"/>
      <c r="W347" s="102"/>
      <c r="X347" s="102"/>
      <c r="Y347" s="102"/>
    </row>
    <row r="348" spans="1:25" ht="14.25" customHeight="1" x14ac:dyDescent="0.2">
      <c r="A348" s="225">
        <v>269</v>
      </c>
      <c r="B348" s="84"/>
      <c r="D348" s="14"/>
      <c r="E348" s="15"/>
      <c r="F348" s="167"/>
      <c r="G348" s="315"/>
      <c r="H348" s="283"/>
      <c r="I348" s="487"/>
      <c r="J348" s="487"/>
      <c r="K348" s="487"/>
      <c r="L348" s="491"/>
      <c r="M348" s="487"/>
      <c r="N348" s="487"/>
      <c r="O348" s="487"/>
      <c r="P348" s="487"/>
      <c r="Q348" s="237"/>
      <c r="R348" s="237"/>
      <c r="S348" s="237"/>
      <c r="T348" s="237"/>
      <c r="U348" s="102"/>
      <c r="V348" s="102"/>
      <c r="W348" s="102"/>
      <c r="X348" s="102"/>
      <c r="Y348" s="102"/>
    </row>
    <row r="349" spans="1:25" ht="15" customHeight="1" x14ac:dyDescent="0.25">
      <c r="A349" s="226">
        <v>270</v>
      </c>
      <c r="B349" s="88" t="s">
        <v>195</v>
      </c>
      <c r="C349" s="52"/>
      <c r="D349" s="52"/>
      <c r="E349" s="50"/>
      <c r="F349" s="163"/>
      <c r="G349" s="306">
        <f>SUM(G330:G348)</f>
        <v>179806</v>
      </c>
      <c r="H349" s="271"/>
      <c r="I349" s="487"/>
      <c r="J349" s="487"/>
      <c r="K349" s="487"/>
      <c r="L349" s="491"/>
      <c r="M349" s="487"/>
      <c r="N349" s="487"/>
      <c r="O349" s="487"/>
      <c r="P349" s="487"/>
      <c r="Q349" s="237"/>
      <c r="R349" s="237"/>
      <c r="S349" s="237"/>
      <c r="T349" s="237"/>
      <c r="U349" s="102"/>
      <c r="V349" s="102"/>
      <c r="W349" s="102"/>
      <c r="X349" s="102"/>
      <c r="Y349" s="102"/>
    </row>
    <row r="350" spans="1:25" ht="6" customHeight="1" x14ac:dyDescent="0.2">
      <c r="A350" s="225"/>
      <c r="B350" s="37"/>
      <c r="C350" s="10"/>
      <c r="D350" s="10"/>
      <c r="E350" s="19"/>
      <c r="F350" s="159"/>
      <c r="G350" s="303"/>
      <c r="H350" s="268"/>
      <c r="I350" s="487"/>
      <c r="J350" s="487"/>
      <c r="K350" s="487"/>
      <c r="L350" s="491"/>
      <c r="M350" s="487"/>
      <c r="N350" s="487"/>
      <c r="O350" s="487"/>
      <c r="P350" s="487"/>
      <c r="Q350" s="237"/>
      <c r="R350" s="237"/>
      <c r="S350" s="237"/>
      <c r="T350" s="237"/>
      <c r="U350" s="102"/>
      <c r="V350" s="102"/>
      <c r="W350" s="102"/>
      <c r="X350" s="102"/>
      <c r="Y350" s="102"/>
    </row>
    <row r="351" spans="1:25" ht="7.5" customHeight="1" x14ac:dyDescent="0.2">
      <c r="A351" s="225"/>
      <c r="B351" s="37"/>
      <c r="C351" s="10"/>
      <c r="D351" s="10"/>
      <c r="E351" s="19"/>
      <c r="F351" s="159"/>
      <c r="G351" s="303"/>
      <c r="H351" s="268"/>
      <c r="I351" s="487"/>
      <c r="J351" s="487"/>
      <c r="K351" s="487"/>
      <c r="L351" s="491"/>
      <c r="M351" s="487"/>
      <c r="N351" s="487"/>
      <c r="O351" s="487"/>
      <c r="P351" s="487"/>
      <c r="Q351" s="237"/>
      <c r="R351" s="237"/>
      <c r="S351" s="237"/>
      <c r="T351" s="237"/>
      <c r="U351" s="102"/>
      <c r="V351" s="102"/>
      <c r="W351" s="102"/>
      <c r="X351" s="102"/>
      <c r="Y351" s="102"/>
    </row>
    <row r="352" spans="1:25" s="5" customFormat="1" ht="15" customHeight="1" x14ac:dyDescent="0.25">
      <c r="A352" s="225" t="s">
        <v>33</v>
      </c>
      <c r="B352" s="89" t="s">
        <v>289</v>
      </c>
      <c r="C352" s="54"/>
      <c r="D352" s="54"/>
      <c r="E352" s="62"/>
      <c r="F352" s="158"/>
      <c r="G352" s="302"/>
      <c r="H352" s="267"/>
      <c r="I352" s="487"/>
      <c r="J352" s="487"/>
      <c r="K352" s="487"/>
      <c r="L352" s="491"/>
      <c r="M352" s="487"/>
      <c r="N352" s="487"/>
      <c r="O352" s="487"/>
      <c r="P352" s="487"/>
      <c r="Q352" s="237"/>
      <c r="R352" s="237"/>
      <c r="S352" s="237"/>
      <c r="T352" s="237"/>
      <c r="U352" s="240"/>
      <c r="V352" s="240"/>
      <c r="W352" s="240"/>
      <c r="X352" s="240"/>
      <c r="Y352" s="240"/>
    </row>
    <row r="353" spans="1:25" ht="14.25" customHeight="1" x14ac:dyDescent="0.2">
      <c r="A353" s="225">
        <v>271</v>
      </c>
      <c r="B353" s="37"/>
      <c r="C353" s="10" t="s">
        <v>76</v>
      </c>
      <c r="D353" s="10"/>
      <c r="E353" s="19" t="s">
        <v>222</v>
      </c>
      <c r="F353" s="159" t="s">
        <v>13</v>
      </c>
      <c r="G353" s="303"/>
      <c r="H353" s="268"/>
      <c r="I353" s="487"/>
      <c r="J353" s="487"/>
      <c r="K353" s="487"/>
      <c r="L353" s="491"/>
      <c r="M353" s="487"/>
      <c r="N353" s="487"/>
      <c r="O353" s="487"/>
      <c r="P353" s="487"/>
      <c r="Q353" s="237"/>
      <c r="R353" s="237"/>
      <c r="S353" s="237"/>
      <c r="T353" s="237"/>
      <c r="U353" s="102"/>
      <c r="V353" s="102"/>
      <c r="W353" s="102"/>
      <c r="X353" s="102"/>
      <c r="Y353" s="102"/>
    </row>
    <row r="354" spans="1:25" ht="14.25" customHeight="1" x14ac:dyDescent="0.2">
      <c r="A354" s="225">
        <v>272</v>
      </c>
      <c r="B354" s="37"/>
      <c r="C354" s="10" t="s">
        <v>110</v>
      </c>
      <c r="D354" s="10"/>
      <c r="E354" s="19" t="s">
        <v>90</v>
      </c>
      <c r="F354" s="159" t="s">
        <v>196</v>
      </c>
      <c r="G354" s="303"/>
      <c r="H354" s="268"/>
      <c r="I354" s="487"/>
      <c r="J354" s="487"/>
      <c r="K354" s="487"/>
      <c r="L354" s="491"/>
      <c r="M354" s="487"/>
      <c r="N354" s="487"/>
      <c r="O354" s="487"/>
      <c r="P354" s="487"/>
      <c r="Q354" s="237"/>
      <c r="R354" s="237"/>
      <c r="S354" s="237"/>
      <c r="T354" s="237"/>
      <c r="U354" s="102"/>
      <c r="V354" s="102"/>
      <c r="W354" s="102"/>
      <c r="X354" s="102"/>
      <c r="Y354" s="102"/>
    </row>
    <row r="355" spans="1:25" ht="14.25" customHeight="1" x14ac:dyDescent="0.2">
      <c r="A355" s="225">
        <v>273</v>
      </c>
      <c r="B355" s="37"/>
      <c r="C355" s="10" t="s">
        <v>295</v>
      </c>
      <c r="D355" s="10"/>
      <c r="E355" s="19" t="s">
        <v>97</v>
      </c>
      <c r="F355" s="159" t="s">
        <v>13</v>
      </c>
      <c r="G355" s="303"/>
      <c r="H355" s="268"/>
      <c r="I355" s="487"/>
      <c r="J355" s="487"/>
      <c r="K355" s="487"/>
      <c r="L355" s="491"/>
      <c r="M355" s="487"/>
      <c r="N355" s="487"/>
      <c r="O355" s="487"/>
      <c r="P355" s="487"/>
      <c r="Q355" s="237"/>
      <c r="R355" s="237"/>
      <c r="S355" s="237"/>
      <c r="T355" s="237"/>
      <c r="U355" s="102"/>
      <c r="V355" s="102"/>
      <c r="W355" s="102"/>
      <c r="X355" s="102"/>
      <c r="Y355" s="102"/>
    </row>
    <row r="356" spans="1:25" ht="14.25" customHeight="1" x14ac:dyDescent="0.2">
      <c r="A356" s="225">
        <v>274</v>
      </c>
      <c r="B356" s="37"/>
      <c r="C356" s="10" t="s">
        <v>98</v>
      </c>
      <c r="D356" s="10"/>
      <c r="E356" s="19" t="s">
        <v>99</v>
      </c>
      <c r="F356" s="159" t="s">
        <v>13</v>
      </c>
      <c r="G356" s="303"/>
      <c r="H356" s="268"/>
      <c r="I356" s="487"/>
      <c r="J356" s="487"/>
      <c r="K356" s="487"/>
      <c r="L356" s="491"/>
      <c r="M356" s="487"/>
      <c r="N356" s="487"/>
      <c r="O356" s="487"/>
      <c r="P356" s="487"/>
      <c r="Q356" s="237"/>
      <c r="R356" s="237"/>
      <c r="S356" s="237"/>
      <c r="T356" s="237"/>
      <c r="U356" s="102"/>
      <c r="V356" s="102"/>
      <c r="W356" s="102"/>
      <c r="X356" s="102"/>
      <c r="Y356" s="102"/>
    </row>
    <row r="357" spans="1:25" ht="14.25" customHeight="1" x14ac:dyDescent="0.2">
      <c r="A357" s="225">
        <v>275</v>
      </c>
      <c r="B357" s="37"/>
      <c r="C357" s="10" t="s">
        <v>100</v>
      </c>
      <c r="D357" s="10"/>
      <c r="E357" s="19" t="s">
        <v>101</v>
      </c>
      <c r="F357" s="159" t="s">
        <v>13</v>
      </c>
      <c r="G357" s="303"/>
      <c r="H357" s="268"/>
      <c r="I357" s="487"/>
      <c r="J357" s="487"/>
      <c r="K357" s="487"/>
      <c r="L357" s="491"/>
      <c r="M357" s="487"/>
      <c r="N357" s="487"/>
      <c r="O357" s="487"/>
      <c r="P357" s="487"/>
      <c r="Q357" s="237"/>
      <c r="R357" s="237"/>
      <c r="S357" s="237"/>
      <c r="T357" s="237"/>
      <c r="U357" s="102"/>
      <c r="V357" s="102"/>
      <c r="W357" s="102"/>
      <c r="X357" s="102"/>
      <c r="Y357" s="102"/>
    </row>
    <row r="358" spans="1:25" ht="14.25" customHeight="1" x14ac:dyDescent="0.2">
      <c r="A358" s="225">
        <v>276</v>
      </c>
      <c r="B358" s="37"/>
      <c r="C358" s="10" t="s">
        <v>219</v>
      </c>
      <c r="D358" s="10"/>
      <c r="E358" s="19" t="s">
        <v>220</v>
      </c>
      <c r="F358" s="159" t="s">
        <v>13</v>
      </c>
      <c r="G358" s="303"/>
      <c r="H358" s="268"/>
      <c r="I358" s="487"/>
      <c r="J358" s="487"/>
      <c r="K358" s="487"/>
      <c r="L358" s="491"/>
      <c r="M358" s="487"/>
      <c r="N358" s="487"/>
      <c r="O358" s="487"/>
      <c r="P358" s="487"/>
      <c r="Q358" s="237"/>
      <c r="R358" s="237"/>
      <c r="S358" s="237"/>
      <c r="T358" s="237"/>
      <c r="U358" s="102"/>
      <c r="V358" s="102"/>
      <c r="W358" s="102"/>
      <c r="X358" s="102"/>
      <c r="Y358" s="102"/>
    </row>
    <row r="359" spans="1:25" ht="14.25" customHeight="1" x14ac:dyDescent="0.2">
      <c r="A359" s="225">
        <v>277</v>
      </c>
      <c r="B359" s="37"/>
      <c r="C359" s="10" t="s">
        <v>102</v>
      </c>
      <c r="D359" s="10"/>
      <c r="E359" s="19" t="s">
        <v>103</v>
      </c>
      <c r="F359" s="159" t="s">
        <v>13</v>
      </c>
      <c r="G359" s="303"/>
      <c r="H359" s="268"/>
      <c r="I359" s="487"/>
      <c r="J359" s="487"/>
      <c r="K359" s="487"/>
      <c r="L359" s="491"/>
      <c r="M359" s="487"/>
      <c r="N359" s="487"/>
      <c r="O359" s="487"/>
      <c r="P359" s="487"/>
      <c r="Q359" s="237"/>
      <c r="R359" s="237"/>
      <c r="S359" s="237"/>
      <c r="T359" s="237"/>
      <c r="U359" s="102"/>
      <c r="V359" s="102"/>
      <c r="W359" s="102"/>
      <c r="X359" s="102"/>
      <c r="Y359" s="102"/>
    </row>
    <row r="360" spans="1:25" ht="14.25" customHeight="1" x14ac:dyDescent="0.2">
      <c r="A360" s="225">
        <v>278</v>
      </c>
      <c r="B360" s="37"/>
      <c r="C360" s="10" t="s">
        <v>104</v>
      </c>
      <c r="D360" s="10"/>
      <c r="E360" s="19" t="s">
        <v>105</v>
      </c>
      <c r="F360" s="159" t="s">
        <v>13</v>
      </c>
      <c r="G360" s="303"/>
      <c r="H360" s="268"/>
      <c r="I360" s="487"/>
      <c r="J360" s="487"/>
      <c r="K360" s="487"/>
      <c r="L360" s="491"/>
      <c r="M360" s="487"/>
      <c r="N360" s="487"/>
      <c r="O360" s="487"/>
      <c r="P360" s="487"/>
      <c r="Q360" s="237"/>
      <c r="R360" s="237"/>
      <c r="S360" s="237"/>
      <c r="T360" s="237"/>
      <c r="U360" s="102"/>
      <c r="V360" s="102"/>
      <c r="W360" s="102"/>
      <c r="X360" s="102"/>
      <c r="Y360" s="102"/>
    </row>
    <row r="361" spans="1:25" ht="14.25" customHeight="1" x14ac:dyDescent="0.2">
      <c r="A361" s="225">
        <v>279</v>
      </c>
      <c r="B361" s="37"/>
      <c r="C361" s="86" t="s">
        <v>283</v>
      </c>
      <c r="D361" s="10"/>
      <c r="E361" s="19"/>
      <c r="F361" s="159"/>
      <c r="G361" s="303"/>
      <c r="H361" s="268"/>
      <c r="I361" s="487"/>
      <c r="J361" s="487"/>
      <c r="K361" s="487"/>
      <c r="L361" s="491"/>
      <c r="M361" s="487"/>
      <c r="N361" s="487"/>
      <c r="O361" s="487"/>
      <c r="P361" s="487"/>
      <c r="Q361" s="237"/>
      <c r="R361" s="237"/>
      <c r="S361" s="237"/>
      <c r="T361" s="237"/>
      <c r="U361" s="102"/>
      <c r="V361" s="102"/>
      <c r="W361" s="102"/>
      <c r="X361" s="102"/>
      <c r="Y361" s="102"/>
    </row>
    <row r="362" spans="1:25" ht="14.25" customHeight="1" x14ac:dyDescent="0.2">
      <c r="A362" s="225">
        <v>280</v>
      </c>
      <c r="B362" s="37"/>
      <c r="C362" s="86"/>
      <c r="D362" s="10"/>
      <c r="E362" s="19"/>
      <c r="F362" s="159"/>
      <c r="G362" s="303"/>
      <c r="H362" s="268"/>
      <c r="I362" s="487"/>
      <c r="J362" s="487"/>
      <c r="K362" s="487"/>
      <c r="L362" s="491"/>
      <c r="M362" s="487"/>
      <c r="N362" s="487"/>
      <c r="O362" s="487"/>
      <c r="P362" s="487"/>
      <c r="Q362" s="237"/>
      <c r="R362" s="237"/>
      <c r="S362" s="237"/>
      <c r="T362" s="237"/>
      <c r="U362" s="102"/>
      <c r="V362" s="102"/>
      <c r="W362" s="102"/>
      <c r="X362" s="102"/>
      <c r="Y362" s="102"/>
    </row>
    <row r="363" spans="1:25" ht="14.25" customHeight="1" x14ac:dyDescent="0.2">
      <c r="A363" s="225"/>
      <c r="B363" s="84"/>
      <c r="D363" s="14"/>
      <c r="E363" s="15"/>
      <c r="F363" s="167"/>
      <c r="G363" s="315"/>
      <c r="H363" s="283"/>
      <c r="I363" s="487"/>
      <c r="J363" s="487"/>
      <c r="K363" s="487"/>
      <c r="L363" s="491"/>
      <c r="M363" s="487"/>
      <c r="N363" s="487"/>
      <c r="O363" s="487"/>
      <c r="P363" s="487"/>
      <c r="Q363" s="237"/>
      <c r="R363" s="237"/>
      <c r="S363" s="237"/>
      <c r="T363" s="237"/>
      <c r="U363" s="102"/>
      <c r="V363" s="102"/>
      <c r="W363" s="102"/>
      <c r="X363" s="102"/>
      <c r="Y363" s="102"/>
    </row>
    <row r="364" spans="1:25" ht="15" customHeight="1" x14ac:dyDescent="0.25">
      <c r="A364" s="226">
        <v>281</v>
      </c>
      <c r="B364" s="88" t="s">
        <v>290</v>
      </c>
      <c r="C364" s="52"/>
      <c r="D364" s="52"/>
      <c r="E364" s="50"/>
      <c r="F364" s="163"/>
      <c r="G364" s="306">
        <f>SUM(G353:G363)</f>
        <v>0</v>
      </c>
      <c r="H364" s="271"/>
      <c r="I364" s="487"/>
      <c r="J364" s="487"/>
      <c r="K364" s="487"/>
      <c r="L364" s="491"/>
      <c r="M364" s="487"/>
      <c r="N364" s="487"/>
      <c r="O364" s="487"/>
      <c r="P364" s="487"/>
      <c r="Q364" s="237"/>
      <c r="R364" s="237"/>
      <c r="S364" s="237"/>
      <c r="T364" s="237"/>
      <c r="U364" s="102"/>
      <c r="V364" s="102"/>
      <c r="W364" s="102"/>
      <c r="X364" s="102"/>
      <c r="Y364" s="102"/>
    </row>
    <row r="365" spans="1:25" ht="15" customHeight="1" thickBot="1" x14ac:dyDescent="0.3">
      <c r="A365" s="225"/>
      <c r="B365" s="81"/>
      <c r="C365" s="11"/>
      <c r="D365" s="11"/>
      <c r="E365" s="19"/>
      <c r="F365" s="159"/>
      <c r="G365" s="303"/>
      <c r="H365" s="268"/>
      <c r="I365" s="487"/>
      <c r="J365" s="487"/>
      <c r="K365" s="487"/>
      <c r="L365" s="491"/>
      <c r="M365" s="487"/>
      <c r="N365" s="487"/>
      <c r="O365" s="487"/>
      <c r="P365" s="487"/>
      <c r="Q365" s="237"/>
      <c r="R365" s="237"/>
      <c r="S365" s="237"/>
      <c r="T365" s="237"/>
      <c r="U365" s="102"/>
      <c r="V365" s="102"/>
      <c r="W365" s="102"/>
      <c r="X365" s="102"/>
      <c r="Y365" s="102"/>
    </row>
    <row r="366" spans="1:25" ht="15" customHeight="1" x14ac:dyDescent="0.25">
      <c r="A366" s="232"/>
      <c r="B366" s="116" t="s">
        <v>231</v>
      </c>
      <c r="C366" s="124"/>
      <c r="D366" s="124"/>
      <c r="E366" s="136"/>
      <c r="F366" s="175"/>
      <c r="G366" s="323"/>
      <c r="H366" s="293"/>
      <c r="I366" s="487"/>
      <c r="J366" s="487"/>
      <c r="K366" s="487"/>
      <c r="L366" s="491"/>
      <c r="M366" s="487"/>
      <c r="N366" s="487"/>
      <c r="O366" s="487"/>
      <c r="P366" s="487"/>
      <c r="Q366" s="237"/>
      <c r="R366" s="237"/>
      <c r="S366" s="237"/>
      <c r="T366" s="237"/>
      <c r="U366" s="102"/>
      <c r="V366" s="102"/>
      <c r="W366" s="102"/>
      <c r="X366" s="102"/>
      <c r="Y366" s="102"/>
    </row>
    <row r="367" spans="1:25" ht="15.75" customHeight="1" thickBot="1" x14ac:dyDescent="0.3">
      <c r="A367" s="233">
        <v>282</v>
      </c>
      <c r="B367" s="132"/>
      <c r="C367" s="118"/>
      <c r="D367" s="118" t="s">
        <v>197</v>
      </c>
      <c r="E367" s="128"/>
      <c r="F367" s="176"/>
      <c r="G367" s="324">
        <f>+G349+G364</f>
        <v>179806</v>
      </c>
      <c r="H367" s="294"/>
      <c r="I367" s="487"/>
      <c r="J367" s="487"/>
      <c r="K367" s="487"/>
      <c r="L367" s="491"/>
      <c r="M367" s="487"/>
      <c r="N367" s="487"/>
      <c r="O367" s="487"/>
      <c r="P367" s="487"/>
      <c r="Q367" s="237"/>
      <c r="R367" s="237"/>
      <c r="S367" s="237"/>
      <c r="T367" s="237"/>
      <c r="U367" s="102"/>
      <c r="V367" s="102"/>
      <c r="W367" s="102"/>
      <c r="X367" s="102"/>
      <c r="Y367" s="102"/>
    </row>
    <row r="368" spans="1:25" s="5" customFormat="1" ht="15" customHeight="1" x14ac:dyDescent="0.25">
      <c r="A368" s="230"/>
      <c r="B368" s="133" t="s">
        <v>18</v>
      </c>
      <c r="C368" s="57"/>
      <c r="D368" s="57"/>
      <c r="E368" s="72"/>
      <c r="F368" s="157"/>
      <c r="G368" s="301"/>
      <c r="H368" s="266"/>
      <c r="I368" s="487"/>
      <c r="J368" s="487"/>
      <c r="K368" s="487"/>
      <c r="L368" s="491"/>
      <c r="M368" s="487"/>
      <c r="N368" s="487"/>
      <c r="O368" s="487"/>
      <c r="P368" s="487"/>
      <c r="Q368" s="237"/>
      <c r="R368" s="237"/>
      <c r="S368" s="237"/>
      <c r="T368" s="237"/>
      <c r="U368" s="240"/>
      <c r="V368" s="240"/>
      <c r="W368" s="240"/>
      <c r="X368" s="240"/>
      <c r="Y368" s="240"/>
    </row>
    <row r="369" spans="1:25" ht="14.25" customHeight="1" x14ac:dyDescent="0.2">
      <c r="A369" s="225">
        <v>283</v>
      </c>
      <c r="B369" s="37"/>
      <c r="C369" s="10" t="s">
        <v>199</v>
      </c>
      <c r="D369" s="10"/>
      <c r="E369" s="19" t="s">
        <v>200</v>
      </c>
      <c r="F369" s="159" t="s">
        <v>201</v>
      </c>
      <c r="G369" s="303"/>
      <c r="H369" s="268"/>
      <c r="I369" s="487"/>
      <c r="J369" s="487"/>
      <c r="K369" s="487"/>
      <c r="L369" s="491"/>
      <c r="M369" s="487"/>
      <c r="N369" s="487"/>
      <c r="O369" s="487"/>
      <c r="P369" s="487"/>
      <c r="Q369" s="237"/>
      <c r="R369" s="237"/>
      <c r="S369" s="237"/>
      <c r="T369" s="237"/>
      <c r="U369" s="102"/>
      <c r="V369" s="102"/>
      <c r="W369" s="102"/>
      <c r="X369" s="102"/>
      <c r="Y369" s="102"/>
    </row>
    <row r="370" spans="1:25" ht="14.25" customHeight="1" x14ac:dyDescent="0.2">
      <c r="A370" s="225">
        <v>284</v>
      </c>
      <c r="B370" s="37"/>
      <c r="C370" s="10" t="s">
        <v>202</v>
      </c>
      <c r="D370" s="10"/>
      <c r="E370" s="19" t="s">
        <v>203</v>
      </c>
      <c r="F370" s="159" t="s">
        <v>198</v>
      </c>
      <c r="G370" s="303"/>
      <c r="H370" s="268"/>
      <c r="I370" s="487"/>
      <c r="J370" s="487"/>
      <c r="K370" s="487"/>
      <c r="L370" s="491"/>
      <c r="M370" s="487"/>
      <c r="N370" s="487"/>
      <c r="O370" s="487"/>
      <c r="P370" s="487"/>
      <c r="Q370" s="237"/>
      <c r="R370" s="237"/>
      <c r="S370" s="237"/>
      <c r="T370" s="237"/>
      <c r="U370" s="102"/>
      <c r="V370" s="102"/>
      <c r="W370" s="102"/>
      <c r="X370" s="102"/>
      <c r="Y370" s="102"/>
    </row>
    <row r="371" spans="1:25" ht="14.25" customHeight="1" x14ac:dyDescent="0.2">
      <c r="A371" s="225">
        <v>285</v>
      </c>
      <c r="B371" s="37"/>
      <c r="C371" s="10" t="s">
        <v>204</v>
      </c>
      <c r="D371" s="10"/>
      <c r="E371" s="19" t="s">
        <v>203</v>
      </c>
      <c r="F371" s="159" t="s">
        <v>205</v>
      </c>
      <c r="G371" s="303"/>
      <c r="H371" s="268"/>
      <c r="I371" s="487"/>
      <c r="J371" s="487"/>
      <c r="K371" s="487"/>
      <c r="L371" s="491"/>
      <c r="M371" s="487"/>
      <c r="N371" s="487"/>
      <c r="O371" s="487"/>
      <c r="P371" s="487"/>
      <c r="Q371" s="237"/>
      <c r="R371" s="237"/>
      <c r="S371" s="237"/>
      <c r="T371" s="237"/>
      <c r="U371" s="102"/>
      <c r="V371" s="102"/>
      <c r="W371" s="102"/>
      <c r="X371" s="102"/>
      <c r="Y371" s="102"/>
    </row>
    <row r="372" spans="1:25" ht="14.25" customHeight="1" x14ac:dyDescent="0.2">
      <c r="A372" s="225">
        <v>286</v>
      </c>
      <c r="B372" s="37"/>
      <c r="C372" s="10" t="s">
        <v>93</v>
      </c>
      <c r="D372" s="10"/>
      <c r="E372" s="19" t="s">
        <v>94</v>
      </c>
      <c r="F372" s="159" t="s">
        <v>198</v>
      </c>
      <c r="G372" s="303"/>
      <c r="H372" s="268"/>
      <c r="I372" s="487"/>
      <c r="J372" s="487"/>
      <c r="K372" s="487"/>
      <c r="L372" s="491"/>
      <c r="M372" s="487"/>
      <c r="N372" s="487"/>
      <c r="O372" s="487"/>
      <c r="P372" s="487"/>
      <c r="Q372" s="237"/>
      <c r="R372" s="237"/>
      <c r="S372" s="237"/>
      <c r="T372" s="237"/>
      <c r="U372" s="102"/>
      <c r="V372" s="102"/>
      <c r="W372" s="102"/>
      <c r="X372" s="102"/>
      <c r="Y372" s="102"/>
    </row>
    <row r="373" spans="1:25" ht="14.25" customHeight="1" x14ac:dyDescent="0.2">
      <c r="A373" s="225">
        <v>287</v>
      </c>
      <c r="B373" s="37"/>
      <c r="C373" s="10" t="s">
        <v>85</v>
      </c>
      <c r="D373" s="10"/>
      <c r="E373" s="19" t="s">
        <v>86</v>
      </c>
      <c r="F373" s="159" t="s">
        <v>206</v>
      </c>
      <c r="G373" s="303"/>
      <c r="H373" s="268"/>
      <c r="I373" s="487"/>
      <c r="J373" s="487"/>
      <c r="K373" s="487"/>
      <c r="L373" s="491"/>
      <c r="M373" s="487"/>
      <c r="N373" s="487"/>
      <c r="O373" s="487"/>
      <c r="P373" s="487"/>
      <c r="Q373" s="237"/>
      <c r="R373" s="237"/>
      <c r="S373" s="237"/>
      <c r="T373" s="237"/>
      <c r="U373" s="102"/>
      <c r="V373" s="102"/>
      <c r="W373" s="102"/>
      <c r="X373" s="102"/>
      <c r="Y373" s="102"/>
    </row>
    <row r="374" spans="1:25" ht="14.25" customHeight="1" x14ac:dyDescent="0.2">
      <c r="A374" s="225">
        <v>288</v>
      </c>
      <c r="B374" s="37"/>
      <c r="C374" s="86" t="s">
        <v>283</v>
      </c>
      <c r="D374" s="10"/>
      <c r="E374" s="19"/>
      <c r="F374" s="159"/>
      <c r="G374" s="303"/>
      <c r="H374" s="268"/>
      <c r="I374" s="487"/>
      <c r="J374" s="487"/>
      <c r="K374" s="487"/>
      <c r="L374" s="491"/>
      <c r="M374" s="487"/>
      <c r="N374" s="487"/>
      <c r="O374" s="487"/>
      <c r="P374" s="487"/>
      <c r="Q374" s="237"/>
      <c r="R374" s="237"/>
      <c r="S374" s="237"/>
      <c r="T374" s="237"/>
      <c r="U374" s="102"/>
      <c r="V374" s="102"/>
      <c r="W374" s="102"/>
      <c r="X374" s="102"/>
      <c r="Y374" s="102"/>
    </row>
    <row r="375" spans="1:25" ht="14.25" customHeight="1" x14ac:dyDescent="0.2">
      <c r="A375" s="225">
        <v>289</v>
      </c>
      <c r="B375" s="37"/>
      <c r="C375" s="86"/>
      <c r="D375" s="10"/>
      <c r="E375" s="19"/>
      <c r="F375" s="159"/>
      <c r="G375" s="303"/>
      <c r="H375" s="268"/>
      <c r="I375" s="487"/>
      <c r="J375" s="487"/>
      <c r="K375" s="487"/>
      <c r="L375" s="491"/>
      <c r="M375" s="487"/>
      <c r="N375" s="487"/>
      <c r="O375" s="487"/>
      <c r="P375" s="487"/>
      <c r="Q375" s="237"/>
      <c r="R375" s="237"/>
      <c r="S375" s="237"/>
      <c r="T375" s="237"/>
      <c r="U375" s="102"/>
      <c r="V375" s="102"/>
      <c r="W375" s="102"/>
      <c r="X375" s="102"/>
      <c r="Y375" s="102"/>
    </row>
    <row r="376" spans="1:25" ht="14.25" customHeight="1" thickBot="1" x14ac:dyDescent="0.25">
      <c r="A376" s="225">
        <v>290</v>
      </c>
      <c r="B376" s="84"/>
      <c r="D376" s="14"/>
      <c r="E376" s="15"/>
      <c r="F376" s="167"/>
      <c r="G376" s="315"/>
      <c r="H376" s="283"/>
      <c r="I376" s="487"/>
      <c r="J376" s="487"/>
      <c r="K376" s="487"/>
      <c r="L376" s="491"/>
      <c r="M376" s="487"/>
      <c r="N376" s="487"/>
      <c r="O376" s="487"/>
      <c r="P376" s="487"/>
      <c r="Q376" s="237"/>
      <c r="R376" s="237"/>
      <c r="S376" s="237"/>
      <c r="T376" s="237"/>
      <c r="U376" s="102"/>
      <c r="V376" s="102"/>
      <c r="W376" s="102"/>
      <c r="X376" s="102"/>
      <c r="Y376" s="102"/>
    </row>
    <row r="377" spans="1:25" ht="15" customHeight="1" x14ac:dyDescent="0.25">
      <c r="A377" s="232"/>
      <c r="B377" s="116" t="s">
        <v>207</v>
      </c>
      <c r="C377" s="124"/>
      <c r="D377" s="124"/>
      <c r="E377" s="136"/>
      <c r="F377" s="175"/>
      <c r="G377" s="323"/>
      <c r="H377" s="293"/>
      <c r="I377" s="487"/>
      <c r="J377" s="487"/>
      <c r="K377" s="487"/>
      <c r="L377" s="491"/>
      <c r="M377" s="487"/>
      <c r="N377" s="487"/>
      <c r="O377" s="487"/>
      <c r="P377" s="487"/>
      <c r="Q377" s="237"/>
      <c r="R377" s="237"/>
      <c r="S377" s="237"/>
      <c r="T377" s="237"/>
      <c r="U377" s="102"/>
      <c r="V377" s="102"/>
      <c r="W377" s="102"/>
      <c r="X377" s="102"/>
      <c r="Y377" s="102"/>
    </row>
    <row r="378" spans="1:25" ht="15.75" customHeight="1" thickBot="1" x14ac:dyDescent="0.3">
      <c r="A378" s="233">
        <v>291</v>
      </c>
      <c r="B378" s="125"/>
      <c r="C378" s="126"/>
      <c r="D378" s="118" t="s">
        <v>2</v>
      </c>
      <c r="E378" s="128"/>
      <c r="F378" s="176"/>
      <c r="G378" s="324">
        <f>SUM(G369:G376)</f>
        <v>0</v>
      </c>
      <c r="H378" s="294"/>
      <c r="I378" s="487"/>
      <c r="J378" s="487"/>
      <c r="K378" s="487"/>
      <c r="L378" s="491"/>
      <c r="M378" s="487"/>
      <c r="N378" s="487"/>
      <c r="O378" s="487"/>
      <c r="P378" s="487"/>
      <c r="Q378" s="237"/>
      <c r="R378" s="237"/>
      <c r="S378" s="237"/>
      <c r="T378" s="237"/>
      <c r="U378" s="102"/>
      <c r="V378" s="102"/>
      <c r="W378" s="102"/>
      <c r="X378" s="102"/>
      <c r="Y378" s="102"/>
    </row>
    <row r="379" spans="1:25" ht="14.25" customHeight="1" x14ac:dyDescent="0.2">
      <c r="A379" s="230"/>
      <c r="B379" s="36"/>
      <c r="C379" s="13"/>
      <c r="D379" s="13"/>
      <c r="E379" s="17"/>
      <c r="F379" s="171"/>
      <c r="G379" s="319"/>
      <c r="H379" s="288"/>
      <c r="I379" s="487"/>
      <c r="J379" s="487"/>
      <c r="K379" s="487"/>
      <c r="L379" s="491"/>
      <c r="M379" s="487"/>
      <c r="N379" s="487"/>
      <c r="O379" s="487"/>
      <c r="P379" s="487"/>
      <c r="Q379" s="237"/>
      <c r="R379" s="237"/>
      <c r="S379" s="237"/>
      <c r="T379" s="237"/>
      <c r="U379" s="102"/>
      <c r="V379" s="102"/>
      <c r="W379" s="102"/>
      <c r="X379" s="102"/>
      <c r="Y379" s="102"/>
    </row>
    <row r="380" spans="1:25" s="5" customFormat="1" ht="15" customHeight="1" x14ac:dyDescent="0.25">
      <c r="A380" s="225"/>
      <c r="B380" s="53" t="s">
        <v>286</v>
      </c>
      <c r="C380" s="54"/>
      <c r="D380" s="54"/>
      <c r="E380" s="62"/>
      <c r="F380" s="158"/>
      <c r="G380" s="302"/>
      <c r="H380" s="267"/>
      <c r="I380" s="487"/>
      <c r="J380" s="487"/>
      <c r="K380" s="487"/>
      <c r="L380" s="491"/>
      <c r="M380" s="487"/>
      <c r="N380" s="487"/>
      <c r="O380" s="487"/>
      <c r="P380" s="487"/>
      <c r="Q380" s="237"/>
      <c r="R380" s="237"/>
      <c r="S380" s="237"/>
      <c r="T380" s="237"/>
      <c r="U380" s="240"/>
      <c r="V380" s="240"/>
      <c r="W380" s="240"/>
      <c r="X380" s="240"/>
      <c r="Y380" s="240"/>
    </row>
    <row r="381" spans="1:25" ht="14.25" customHeight="1" x14ac:dyDescent="0.2">
      <c r="A381" s="225"/>
      <c r="B381" s="37"/>
      <c r="C381" s="10" t="s">
        <v>31</v>
      </c>
      <c r="D381" s="10"/>
      <c r="E381" s="62"/>
      <c r="F381" s="158"/>
      <c r="G381" s="302"/>
      <c r="H381" s="267"/>
      <c r="I381" s="487"/>
      <c r="J381" s="487"/>
      <c r="K381" s="487"/>
      <c r="L381" s="491"/>
      <c r="M381" s="487"/>
      <c r="N381" s="487"/>
      <c r="O381" s="487"/>
      <c r="P381" s="487"/>
      <c r="Q381" s="237"/>
      <c r="R381" s="237"/>
      <c r="S381" s="237"/>
      <c r="T381" s="237"/>
      <c r="U381" s="102"/>
      <c r="V381" s="102"/>
      <c r="W381" s="102"/>
      <c r="X381" s="102"/>
      <c r="Y381" s="102"/>
    </row>
    <row r="382" spans="1:25" ht="14.25" customHeight="1" x14ac:dyDescent="0.2">
      <c r="A382" s="225">
        <v>292</v>
      </c>
      <c r="B382" s="37"/>
      <c r="C382" s="10"/>
      <c r="D382" s="10" t="s">
        <v>209</v>
      </c>
      <c r="E382" s="19" t="s">
        <v>149</v>
      </c>
      <c r="F382" s="159" t="s">
        <v>208</v>
      </c>
      <c r="G382" s="303"/>
      <c r="H382" s="268"/>
      <c r="I382" s="487"/>
      <c r="J382" s="487"/>
      <c r="K382" s="487"/>
      <c r="L382" s="491"/>
      <c r="M382" s="487"/>
      <c r="N382" s="487"/>
      <c r="O382" s="487"/>
      <c r="P382" s="487"/>
      <c r="Q382" s="237"/>
      <c r="R382" s="237"/>
      <c r="S382" s="237"/>
      <c r="T382" s="237"/>
      <c r="U382" s="102"/>
      <c r="V382" s="102"/>
      <c r="W382" s="102"/>
      <c r="X382" s="102"/>
      <c r="Y382" s="102"/>
    </row>
    <row r="383" spans="1:25" ht="14.25" customHeight="1" x14ac:dyDescent="0.2">
      <c r="A383" s="225">
        <v>293</v>
      </c>
      <c r="B383" s="37"/>
      <c r="C383" s="10"/>
      <c r="D383" s="10" t="s">
        <v>210</v>
      </c>
      <c r="E383" s="19" t="s">
        <v>152</v>
      </c>
      <c r="F383" s="159" t="s">
        <v>208</v>
      </c>
      <c r="G383" s="303"/>
      <c r="H383" s="268"/>
      <c r="I383" s="487"/>
      <c r="J383" s="487"/>
      <c r="K383" s="487"/>
      <c r="L383" s="491"/>
      <c r="M383" s="487"/>
      <c r="N383" s="487"/>
      <c r="O383" s="487"/>
      <c r="P383" s="487"/>
      <c r="Q383" s="237"/>
      <c r="R383" s="237"/>
      <c r="S383" s="237"/>
      <c r="T383" s="237"/>
      <c r="U383" s="102"/>
      <c r="V383" s="102"/>
      <c r="W383" s="102"/>
      <c r="X383" s="102"/>
      <c r="Y383" s="102"/>
    </row>
    <row r="384" spans="1:25" ht="14.25" customHeight="1" x14ac:dyDescent="0.2">
      <c r="A384" s="225">
        <v>294</v>
      </c>
      <c r="B384" s="37"/>
      <c r="C384" s="10"/>
      <c r="D384" s="10" t="s">
        <v>211</v>
      </c>
      <c r="E384" s="19" t="s">
        <v>212</v>
      </c>
      <c r="F384" s="159" t="s">
        <v>208</v>
      </c>
      <c r="G384" s="303"/>
      <c r="H384" s="268"/>
      <c r="I384" s="487"/>
      <c r="J384" s="487"/>
      <c r="K384" s="487"/>
      <c r="L384" s="491"/>
      <c r="M384" s="487"/>
      <c r="N384" s="487"/>
      <c r="O384" s="487"/>
      <c r="P384" s="487"/>
      <c r="Q384" s="237"/>
      <c r="R384" s="237"/>
      <c r="S384" s="237"/>
      <c r="T384" s="237"/>
      <c r="U384" s="102"/>
      <c r="V384" s="102"/>
      <c r="W384" s="102"/>
      <c r="X384" s="102"/>
      <c r="Y384" s="102"/>
    </row>
    <row r="385" spans="1:25" ht="14.25" customHeight="1" x14ac:dyDescent="0.2">
      <c r="A385" s="225">
        <v>295</v>
      </c>
      <c r="B385" s="37"/>
      <c r="C385" s="10"/>
      <c r="D385" s="10" t="s">
        <v>95</v>
      </c>
      <c r="E385" s="19" t="s">
        <v>96</v>
      </c>
      <c r="F385" s="159" t="s">
        <v>208</v>
      </c>
      <c r="G385" s="321"/>
      <c r="H385" s="290"/>
      <c r="I385" s="487"/>
      <c r="J385" s="487"/>
      <c r="K385" s="487"/>
      <c r="L385" s="491"/>
      <c r="M385" s="487"/>
      <c r="N385" s="487"/>
      <c r="O385" s="487"/>
      <c r="P385" s="487"/>
      <c r="Q385" s="237"/>
      <c r="R385" s="237"/>
      <c r="S385" s="237"/>
      <c r="T385" s="237"/>
      <c r="U385" s="102"/>
      <c r="V385" s="102"/>
      <c r="W385" s="102"/>
      <c r="X385" s="102"/>
      <c r="Y385" s="102"/>
    </row>
    <row r="386" spans="1:25" ht="14.25" customHeight="1" x14ac:dyDescent="0.2">
      <c r="A386" s="225">
        <v>296</v>
      </c>
      <c r="B386" s="37"/>
      <c r="C386" s="86" t="s">
        <v>283</v>
      </c>
      <c r="D386" s="10"/>
      <c r="E386" s="19"/>
      <c r="F386" s="159"/>
      <c r="G386" s="303"/>
      <c r="H386" s="268"/>
      <c r="I386" s="487"/>
      <c r="J386" s="487"/>
      <c r="K386" s="487"/>
      <c r="L386" s="491"/>
      <c r="M386" s="487"/>
      <c r="N386" s="487"/>
      <c r="O386" s="487"/>
      <c r="P386" s="487"/>
      <c r="Q386" s="237"/>
      <c r="R386" s="237"/>
      <c r="S386" s="237"/>
      <c r="T386" s="237"/>
      <c r="U386" s="102"/>
      <c r="V386" s="102"/>
      <c r="W386" s="102"/>
      <c r="X386" s="102"/>
      <c r="Y386" s="102"/>
    </row>
    <row r="387" spans="1:25" ht="14.25" customHeight="1" x14ac:dyDescent="0.2">
      <c r="A387" s="225">
        <v>297</v>
      </c>
      <c r="B387" s="37"/>
      <c r="C387" s="86"/>
      <c r="D387" s="10"/>
      <c r="E387" s="19"/>
      <c r="F387" s="159"/>
      <c r="G387" s="303"/>
      <c r="H387" s="268"/>
      <c r="I387" s="487"/>
      <c r="J387" s="487"/>
      <c r="K387" s="487"/>
      <c r="L387" s="491"/>
      <c r="M387" s="487"/>
      <c r="N387" s="487"/>
      <c r="O387" s="487"/>
      <c r="P387" s="487"/>
      <c r="Q387" s="237"/>
      <c r="R387" s="237"/>
      <c r="S387" s="237"/>
      <c r="T387" s="237"/>
      <c r="U387" s="102"/>
      <c r="V387" s="102"/>
      <c r="W387" s="102"/>
      <c r="X387" s="102"/>
      <c r="Y387" s="102"/>
    </row>
    <row r="388" spans="1:25" ht="14.25" customHeight="1" thickBot="1" x14ac:dyDescent="0.25">
      <c r="A388" s="225">
        <v>298</v>
      </c>
      <c r="B388" s="84"/>
      <c r="D388" s="14"/>
      <c r="E388" s="15"/>
      <c r="F388" s="167"/>
      <c r="G388" s="315"/>
      <c r="H388" s="283"/>
      <c r="I388" s="487"/>
      <c r="J388" s="487"/>
      <c r="K388" s="487"/>
      <c r="L388" s="491"/>
      <c r="M388" s="487"/>
      <c r="N388" s="487"/>
      <c r="O388" s="487"/>
      <c r="P388" s="487"/>
      <c r="Q388" s="237"/>
      <c r="R388" s="237"/>
      <c r="S388" s="237"/>
      <c r="T388" s="237"/>
      <c r="U388" s="102"/>
      <c r="V388" s="102"/>
      <c r="W388" s="102"/>
      <c r="X388" s="102"/>
      <c r="Y388" s="102"/>
    </row>
    <row r="389" spans="1:25" ht="15.75" customHeight="1" thickBot="1" x14ac:dyDescent="0.3">
      <c r="A389" s="229">
        <v>299</v>
      </c>
      <c r="B389" s="76" t="s">
        <v>287</v>
      </c>
      <c r="C389" s="77"/>
      <c r="D389" s="77"/>
      <c r="E389" s="46"/>
      <c r="F389" s="166"/>
      <c r="G389" s="312">
        <f>SUM(G381:G388)</f>
        <v>0</v>
      </c>
      <c r="H389" s="287"/>
      <c r="I389" s="487"/>
      <c r="J389" s="487"/>
      <c r="K389" s="487"/>
      <c r="L389" s="491"/>
      <c r="M389" s="487"/>
      <c r="N389" s="487"/>
      <c r="O389" s="487"/>
      <c r="P389" s="487"/>
      <c r="Q389" s="237"/>
      <c r="R389" s="237"/>
      <c r="S389" s="237"/>
      <c r="T389" s="237"/>
      <c r="U389" s="102"/>
      <c r="V389" s="102"/>
      <c r="W389" s="102"/>
      <c r="X389" s="102"/>
      <c r="Y389" s="102"/>
    </row>
    <row r="390" spans="1:25" ht="14.25" customHeight="1" thickBot="1" x14ac:dyDescent="0.25">
      <c r="A390" s="225"/>
      <c r="B390" s="37"/>
      <c r="C390" s="10"/>
      <c r="D390" s="10"/>
      <c r="E390" s="19"/>
      <c r="F390" s="159"/>
      <c r="G390" s="303"/>
      <c r="H390" s="268"/>
      <c r="I390" s="487"/>
      <c r="J390" s="487"/>
      <c r="K390" s="487"/>
      <c r="L390" s="491"/>
      <c r="M390" s="487"/>
      <c r="N390" s="487"/>
      <c r="O390" s="487"/>
      <c r="P390" s="487"/>
      <c r="Q390" s="237"/>
      <c r="R390" s="237"/>
      <c r="S390" s="237"/>
      <c r="T390" s="237"/>
      <c r="U390" s="102"/>
      <c r="V390" s="102"/>
      <c r="W390" s="102"/>
      <c r="X390" s="102"/>
      <c r="Y390" s="102"/>
    </row>
    <row r="391" spans="1:25" ht="15.75" customHeight="1" thickBot="1" x14ac:dyDescent="0.3">
      <c r="A391" s="229">
        <v>300</v>
      </c>
      <c r="B391" s="76" t="s">
        <v>213</v>
      </c>
      <c r="C391" s="77"/>
      <c r="D391" s="77"/>
      <c r="E391" s="46"/>
      <c r="F391" s="166"/>
      <c r="G391" s="312">
        <f>+G154+G326+G367+G378+G389</f>
        <v>4392316.2458540983</v>
      </c>
      <c r="H391" s="287"/>
      <c r="I391" s="487"/>
      <c r="J391" s="487"/>
      <c r="K391" s="487"/>
      <c r="L391" s="491"/>
      <c r="M391" s="487"/>
      <c r="N391" s="487"/>
      <c r="O391" s="487"/>
      <c r="P391" s="487"/>
      <c r="Q391" s="237"/>
      <c r="R391" s="237"/>
      <c r="S391" s="237"/>
      <c r="T391" s="237"/>
      <c r="U391" s="102"/>
      <c r="V391" s="102"/>
      <c r="W391" s="102"/>
      <c r="X391" s="102"/>
      <c r="Y391" s="102"/>
    </row>
    <row r="392" spans="1:25" ht="14.25" customHeight="1" x14ac:dyDescent="0.2">
      <c r="A392" s="225"/>
      <c r="B392" s="37"/>
      <c r="C392" s="10"/>
      <c r="D392" s="10"/>
      <c r="E392" s="19"/>
      <c r="F392" s="159"/>
      <c r="G392" s="303"/>
      <c r="H392" s="268"/>
      <c r="I392" s="487"/>
      <c r="J392" s="487"/>
      <c r="K392" s="487"/>
      <c r="L392" s="491"/>
      <c r="M392" s="487"/>
      <c r="N392" s="487"/>
      <c r="O392" s="487"/>
      <c r="P392" s="487"/>
      <c r="Q392" s="237"/>
      <c r="R392" s="237"/>
      <c r="S392" s="237"/>
      <c r="T392" s="237"/>
      <c r="U392" s="102"/>
      <c r="V392" s="102"/>
      <c r="W392" s="102"/>
      <c r="X392" s="102"/>
      <c r="Y392" s="102"/>
    </row>
    <row r="393" spans="1:25" s="5" customFormat="1" ht="15" customHeight="1" x14ac:dyDescent="0.25">
      <c r="A393" s="225"/>
      <c r="B393" s="87" t="s">
        <v>291</v>
      </c>
      <c r="C393" s="12"/>
      <c r="D393" s="12"/>
      <c r="E393" s="78"/>
      <c r="F393" s="170"/>
      <c r="G393" s="318"/>
      <c r="H393" s="286"/>
      <c r="I393" s="489"/>
      <c r="J393" s="489"/>
      <c r="K393" s="489"/>
      <c r="L393" s="491"/>
      <c r="M393" s="489"/>
      <c r="N393" s="489"/>
      <c r="O393" s="489"/>
      <c r="P393" s="489"/>
      <c r="Q393" s="244"/>
      <c r="R393" s="244"/>
      <c r="S393" s="244"/>
      <c r="T393" s="244"/>
      <c r="U393" s="240"/>
      <c r="V393" s="240"/>
      <c r="W393" s="240"/>
      <c r="X393" s="240"/>
      <c r="Y393" s="240"/>
    </row>
    <row r="394" spans="1:25" ht="14.25" customHeight="1" x14ac:dyDescent="0.2">
      <c r="A394" s="225">
        <v>301</v>
      </c>
      <c r="B394" s="37" t="s">
        <v>4</v>
      </c>
      <c r="C394" s="10"/>
      <c r="D394" s="10"/>
      <c r="E394" s="19" t="s">
        <v>221</v>
      </c>
      <c r="F394" s="159" t="s">
        <v>253</v>
      </c>
      <c r="G394" s="303"/>
      <c r="H394" s="268"/>
      <c r="I394" s="487"/>
      <c r="J394" s="487"/>
      <c r="K394" s="487"/>
      <c r="L394" s="491"/>
      <c r="M394" s="487"/>
      <c r="N394" s="487"/>
      <c r="O394" s="487"/>
      <c r="P394" s="487"/>
      <c r="Q394" s="237"/>
      <c r="R394" s="237"/>
      <c r="S394" s="237"/>
      <c r="T394" s="237"/>
      <c r="U394" s="102"/>
      <c r="V394" s="102"/>
      <c r="W394" s="102"/>
      <c r="X394" s="102"/>
      <c r="Y394" s="102"/>
    </row>
    <row r="395" spans="1:25" ht="14.25" customHeight="1" thickBot="1" x14ac:dyDescent="0.25">
      <c r="A395" s="225">
        <v>302</v>
      </c>
      <c r="B395" s="37"/>
      <c r="C395" s="10"/>
      <c r="D395" s="10"/>
      <c r="E395" s="19"/>
      <c r="F395" s="159"/>
      <c r="G395" s="303"/>
      <c r="H395" s="268"/>
      <c r="I395" s="487"/>
      <c r="J395" s="487"/>
      <c r="K395" s="487"/>
      <c r="L395" s="491"/>
      <c r="M395" s="487"/>
      <c r="N395" s="487"/>
      <c r="O395" s="487"/>
      <c r="P395" s="487"/>
      <c r="Q395" s="237"/>
      <c r="R395" s="237"/>
      <c r="S395" s="237"/>
      <c r="T395" s="237"/>
      <c r="U395" s="102"/>
      <c r="V395" s="102"/>
      <c r="W395" s="102"/>
      <c r="X395" s="102"/>
      <c r="Y395" s="102"/>
    </row>
    <row r="396" spans="1:25" ht="15.75" customHeight="1" thickBot="1" x14ac:dyDescent="0.3">
      <c r="A396" s="229">
        <v>303</v>
      </c>
      <c r="B396" s="76" t="s">
        <v>214</v>
      </c>
      <c r="C396" s="77"/>
      <c r="D396" s="77"/>
      <c r="E396" s="46"/>
      <c r="F396" s="166"/>
      <c r="G396" s="312">
        <f>SUM(G392:G395)</f>
        <v>0</v>
      </c>
      <c r="H396" s="287"/>
      <c r="I396" s="487"/>
      <c r="J396" s="487"/>
      <c r="K396" s="487"/>
      <c r="L396" s="491"/>
      <c r="M396" s="487"/>
      <c r="N396" s="487"/>
      <c r="O396" s="487"/>
      <c r="P396" s="487"/>
      <c r="Q396" s="237"/>
      <c r="R396" s="237"/>
      <c r="S396" s="237"/>
      <c r="T396" s="237"/>
      <c r="U396" s="102"/>
      <c r="V396" s="102"/>
      <c r="W396" s="102"/>
      <c r="X396" s="102"/>
      <c r="Y396" s="102"/>
    </row>
    <row r="397" spans="1:25" ht="14.25" customHeight="1" thickBot="1" x14ac:dyDescent="0.25">
      <c r="A397" s="225"/>
      <c r="B397" s="37"/>
      <c r="C397" s="10"/>
      <c r="D397" s="10"/>
      <c r="E397" s="19"/>
      <c r="F397" s="159"/>
      <c r="G397" s="303"/>
      <c r="H397" s="268"/>
      <c r="I397" s="487"/>
      <c r="J397" s="487"/>
      <c r="K397" s="487"/>
      <c r="L397" s="491"/>
      <c r="M397" s="487"/>
      <c r="N397" s="487"/>
      <c r="O397" s="487"/>
      <c r="P397" s="487"/>
      <c r="Q397" s="237"/>
      <c r="R397" s="237"/>
      <c r="S397" s="237"/>
      <c r="T397" s="237"/>
      <c r="U397" s="102"/>
      <c r="V397" s="102"/>
      <c r="W397" s="102"/>
      <c r="X397" s="102"/>
      <c r="Y397" s="102"/>
    </row>
    <row r="398" spans="1:25" s="5" customFormat="1" ht="15.75" customHeight="1" thickBot="1" x14ac:dyDescent="0.3">
      <c r="A398" s="235" t="s">
        <v>215</v>
      </c>
      <c r="B398" s="76"/>
      <c r="C398" s="77"/>
      <c r="D398" s="77"/>
      <c r="E398" s="120"/>
      <c r="F398" s="177"/>
      <c r="G398" s="325"/>
      <c r="H398" s="295"/>
      <c r="I398" s="489"/>
      <c r="J398" s="489"/>
      <c r="K398" s="489"/>
      <c r="L398" s="491"/>
      <c r="M398" s="489"/>
      <c r="N398" s="489"/>
      <c r="O398" s="489"/>
      <c r="P398" s="489"/>
      <c r="Q398" s="244"/>
      <c r="R398" s="244"/>
      <c r="S398" s="244"/>
      <c r="T398" s="244"/>
      <c r="U398" s="240"/>
      <c r="V398" s="240"/>
      <c r="W398" s="240"/>
      <c r="X398" s="240"/>
      <c r="Y398" s="240"/>
    </row>
    <row r="399" spans="1:25" ht="15" customHeight="1" x14ac:dyDescent="0.25">
      <c r="A399" s="232"/>
      <c r="B399" s="131"/>
      <c r="C399" s="130" t="s">
        <v>254</v>
      </c>
      <c r="D399" s="119"/>
      <c r="E399" s="136"/>
      <c r="F399" s="175"/>
      <c r="G399" s="323"/>
      <c r="H399" s="293"/>
      <c r="I399" s="487"/>
      <c r="J399" s="487"/>
      <c r="K399" s="487"/>
      <c r="L399" s="491"/>
      <c r="M399" s="487"/>
      <c r="N399" s="487"/>
      <c r="O399" s="487"/>
      <c r="P399" s="487"/>
      <c r="Q399" s="237"/>
      <c r="R399" s="237"/>
      <c r="S399" s="237"/>
      <c r="T399" s="237"/>
      <c r="U399" s="102"/>
      <c r="V399" s="102"/>
      <c r="W399" s="102"/>
      <c r="X399" s="102"/>
      <c r="Y399" s="102"/>
    </row>
    <row r="400" spans="1:25" ht="15.75" customHeight="1" thickBot="1" x14ac:dyDescent="0.3">
      <c r="A400" s="257">
        <v>304</v>
      </c>
      <c r="B400" s="258"/>
      <c r="C400" s="259" t="s">
        <v>3</v>
      </c>
      <c r="D400" s="260"/>
      <c r="E400" s="261"/>
      <c r="F400" s="262"/>
      <c r="G400" s="326">
        <f>+G70-G391-G396</f>
        <v>395714.08414590172</v>
      </c>
      <c r="H400" s="296"/>
      <c r="I400" s="487"/>
      <c r="J400" s="487"/>
      <c r="K400" s="487"/>
      <c r="L400" s="491"/>
      <c r="M400" s="487"/>
      <c r="N400" s="487"/>
      <c r="O400" s="487"/>
      <c r="P400" s="487"/>
      <c r="Q400" s="237"/>
      <c r="R400" s="237"/>
      <c r="S400" s="237"/>
      <c r="T400" s="237"/>
      <c r="U400" s="102"/>
      <c r="V400" s="102"/>
      <c r="W400" s="102"/>
      <c r="X400" s="102"/>
      <c r="Y400" s="102"/>
    </row>
    <row r="401" spans="1:25" ht="15" thickTop="1" x14ac:dyDescent="0.2">
      <c r="A401" s="221"/>
      <c r="G401" s="327"/>
      <c r="H401" s="281"/>
      <c r="I401" s="102"/>
      <c r="J401" s="102"/>
      <c r="K401" s="102"/>
      <c r="L401" s="102"/>
      <c r="M401" s="102"/>
      <c r="N401" s="102"/>
      <c r="O401" s="102"/>
      <c r="P401" s="102"/>
      <c r="Q401" s="102"/>
      <c r="R401" s="102"/>
      <c r="S401" s="102"/>
      <c r="T401" s="102"/>
      <c r="U401" s="102"/>
      <c r="V401" s="102"/>
      <c r="W401" s="102"/>
      <c r="X401" s="102"/>
      <c r="Y401" s="102"/>
    </row>
    <row r="402" spans="1:25" x14ac:dyDescent="0.2">
      <c r="A402" s="221"/>
      <c r="G402" s="327"/>
      <c r="H402" s="281"/>
      <c r="I402" s="494"/>
      <c r="J402" s="102"/>
      <c r="K402" s="102"/>
      <c r="L402" s="102"/>
      <c r="M402" s="102"/>
      <c r="N402" s="102"/>
      <c r="O402" s="102"/>
      <c r="P402" s="102"/>
      <c r="Q402" s="102"/>
      <c r="R402" s="102"/>
      <c r="S402" s="102"/>
      <c r="T402" s="102"/>
      <c r="U402" s="102"/>
      <c r="V402" s="102"/>
      <c r="W402" s="102"/>
      <c r="X402" s="102"/>
      <c r="Y402" s="102"/>
    </row>
    <row r="403" spans="1:25" x14ac:dyDescent="0.2">
      <c r="A403" s="221"/>
      <c r="G403" s="352"/>
      <c r="H403" s="281"/>
      <c r="I403" s="102"/>
      <c r="J403" s="102"/>
      <c r="K403" s="102"/>
      <c r="L403" s="102"/>
      <c r="M403" s="102"/>
      <c r="N403" s="102"/>
      <c r="O403" s="102"/>
      <c r="P403" s="102"/>
      <c r="Q403" s="102"/>
      <c r="R403" s="102"/>
      <c r="S403" s="102"/>
      <c r="T403" s="102"/>
      <c r="U403" s="102"/>
      <c r="V403" s="102"/>
      <c r="W403" s="102"/>
      <c r="X403" s="102"/>
      <c r="Y403" s="102"/>
    </row>
    <row r="404" spans="1:25" x14ac:dyDescent="0.2">
      <c r="A404" s="221"/>
      <c r="G404" s="327"/>
      <c r="H404" s="281"/>
      <c r="I404" s="102"/>
      <c r="J404" s="102"/>
      <c r="K404" s="102"/>
      <c r="L404" s="102"/>
      <c r="M404" s="102"/>
      <c r="N404" s="102"/>
      <c r="O404" s="102"/>
      <c r="P404" s="102"/>
      <c r="Q404" s="102"/>
      <c r="R404" s="102"/>
      <c r="S404" s="102"/>
      <c r="T404" s="102"/>
      <c r="U404" s="102"/>
      <c r="V404" s="102"/>
      <c r="W404" s="102"/>
      <c r="X404" s="102"/>
      <c r="Y404" s="102"/>
    </row>
    <row r="405" spans="1:25" x14ac:dyDescent="0.2">
      <c r="A405" s="221"/>
      <c r="G405" s="353"/>
      <c r="H405" s="281"/>
      <c r="I405" s="102"/>
      <c r="J405" s="102"/>
      <c r="K405" s="102"/>
      <c r="L405" s="102"/>
      <c r="M405" s="102"/>
      <c r="N405" s="102"/>
      <c r="O405" s="102"/>
      <c r="P405" s="102"/>
      <c r="Q405" s="102"/>
      <c r="R405" s="102"/>
      <c r="S405" s="102"/>
      <c r="T405" s="102"/>
      <c r="U405" s="102"/>
      <c r="V405" s="102"/>
      <c r="W405" s="102"/>
      <c r="X405" s="102"/>
      <c r="Y405" s="102"/>
    </row>
    <row r="406" spans="1:25" x14ac:dyDescent="0.2">
      <c r="A406" s="221"/>
      <c r="G406" s="327"/>
      <c r="H406" s="281"/>
      <c r="I406" s="102"/>
      <c r="J406" s="102"/>
      <c r="K406" s="102"/>
      <c r="L406" s="102"/>
      <c r="M406" s="102"/>
      <c r="N406" s="102"/>
      <c r="O406" s="102"/>
      <c r="P406" s="102"/>
      <c r="Q406" s="102"/>
      <c r="R406" s="102"/>
      <c r="S406" s="102"/>
      <c r="T406" s="102"/>
      <c r="U406" s="102"/>
      <c r="V406" s="102"/>
      <c r="W406" s="102"/>
      <c r="X406" s="102"/>
      <c r="Y406" s="102"/>
    </row>
    <row r="407" spans="1:25" x14ac:dyDescent="0.2">
      <c r="A407" s="221"/>
      <c r="G407" s="327"/>
      <c r="H407" s="281"/>
      <c r="I407" s="102"/>
      <c r="J407" s="102"/>
      <c r="K407" s="102"/>
      <c r="L407" s="102"/>
      <c r="M407" s="102"/>
      <c r="N407" s="102"/>
      <c r="O407" s="102"/>
      <c r="P407" s="102"/>
      <c r="Q407" s="102"/>
      <c r="R407" s="102"/>
      <c r="S407" s="102"/>
      <c r="T407" s="102"/>
      <c r="U407" s="102"/>
      <c r="V407" s="102"/>
      <c r="W407" s="102"/>
      <c r="X407" s="102"/>
      <c r="Y407" s="102"/>
    </row>
    <row r="408" spans="1:25" x14ac:dyDescent="0.2">
      <c r="A408" s="221"/>
      <c r="G408" s="327"/>
      <c r="H408" s="281"/>
      <c r="I408" s="102"/>
      <c r="J408" s="102"/>
      <c r="K408" s="102"/>
      <c r="L408" s="102"/>
      <c r="M408" s="102"/>
      <c r="N408" s="102"/>
      <c r="O408" s="102"/>
      <c r="P408" s="102"/>
      <c r="Q408" s="102"/>
      <c r="R408" s="102"/>
      <c r="S408" s="102"/>
      <c r="T408" s="102"/>
      <c r="U408" s="102"/>
      <c r="V408" s="102"/>
      <c r="W408" s="102"/>
      <c r="X408" s="102"/>
      <c r="Y408" s="102"/>
    </row>
    <row r="409" spans="1:25" x14ac:dyDescent="0.2">
      <c r="A409" s="221"/>
      <c r="G409" s="327"/>
    </row>
    <row r="410" spans="1:25" x14ac:dyDescent="0.2">
      <c r="A410" s="221"/>
    </row>
    <row r="411" spans="1:25" x14ac:dyDescent="0.2">
      <c r="A411" s="221"/>
    </row>
    <row r="412" spans="1:25" x14ac:dyDescent="0.2">
      <c r="A412" s="221"/>
    </row>
    <row r="413" spans="1:25" x14ac:dyDescent="0.2">
      <c r="A413" s="221"/>
    </row>
    <row r="414" spans="1:25" x14ac:dyDescent="0.2">
      <c r="A414" s="221"/>
    </row>
    <row r="415" spans="1:25" x14ac:dyDescent="0.2">
      <c r="A415" s="221"/>
    </row>
    <row r="416" spans="1:25" x14ac:dyDescent="0.2">
      <c r="A416" s="221"/>
    </row>
    <row r="417" spans="1:1" x14ac:dyDescent="0.2">
      <c r="A417" s="221"/>
    </row>
    <row r="418" spans="1:1" x14ac:dyDescent="0.2">
      <c r="A418" s="221"/>
    </row>
    <row r="419" spans="1:1" x14ac:dyDescent="0.2">
      <c r="A419" s="221"/>
    </row>
    <row r="420" spans="1:1" x14ac:dyDescent="0.2">
      <c r="A420" s="221"/>
    </row>
    <row r="421" spans="1:1" x14ac:dyDescent="0.2">
      <c r="A421" s="221"/>
    </row>
    <row r="422" spans="1:1" x14ac:dyDescent="0.2">
      <c r="A422" s="221"/>
    </row>
    <row r="423" spans="1:1" x14ac:dyDescent="0.2">
      <c r="A423" s="221"/>
    </row>
    <row r="424" spans="1:1" x14ac:dyDescent="0.2">
      <c r="A424" s="221"/>
    </row>
    <row r="425" spans="1:1" x14ac:dyDescent="0.2">
      <c r="A425" s="221"/>
    </row>
    <row r="426" spans="1:1" x14ac:dyDescent="0.2">
      <c r="A426" s="221"/>
    </row>
    <row r="427" spans="1:1" x14ac:dyDescent="0.2">
      <c r="A427" s="221"/>
    </row>
    <row r="428" spans="1:1" x14ac:dyDescent="0.2">
      <c r="A428" s="221"/>
    </row>
    <row r="429" spans="1:1" x14ac:dyDescent="0.2">
      <c r="A429" s="221"/>
    </row>
    <row r="430" spans="1:1" x14ac:dyDescent="0.2">
      <c r="A430" s="221"/>
    </row>
    <row r="431" spans="1:1" x14ac:dyDescent="0.2">
      <c r="A431" s="221"/>
    </row>
    <row r="432" spans="1:1" x14ac:dyDescent="0.2">
      <c r="A432" s="221"/>
    </row>
    <row r="433" spans="1:1" x14ac:dyDescent="0.2">
      <c r="A433" s="221"/>
    </row>
    <row r="434" spans="1:1" x14ac:dyDescent="0.2">
      <c r="A434" s="221"/>
    </row>
    <row r="435" spans="1:1" x14ac:dyDescent="0.2">
      <c r="A435" s="221"/>
    </row>
    <row r="436" spans="1:1" x14ac:dyDescent="0.2">
      <c r="A436" s="221"/>
    </row>
    <row r="437" spans="1:1" x14ac:dyDescent="0.2">
      <c r="A437" s="221"/>
    </row>
    <row r="438" spans="1:1" x14ac:dyDescent="0.2">
      <c r="A438" s="221"/>
    </row>
    <row r="439" spans="1:1" x14ac:dyDescent="0.2">
      <c r="A439" s="221"/>
    </row>
    <row r="440" spans="1:1" x14ac:dyDescent="0.2">
      <c r="A440" s="221"/>
    </row>
    <row r="441" spans="1:1" x14ac:dyDescent="0.2">
      <c r="A441" s="221"/>
    </row>
    <row r="442" spans="1:1" x14ac:dyDescent="0.2">
      <c r="A442" s="221"/>
    </row>
    <row r="443" spans="1:1" x14ac:dyDescent="0.2">
      <c r="A443" s="221"/>
    </row>
    <row r="444" spans="1:1" x14ac:dyDescent="0.2">
      <c r="A444" s="221"/>
    </row>
    <row r="445" spans="1:1" x14ac:dyDescent="0.2">
      <c r="A445" s="221"/>
    </row>
    <row r="446" spans="1:1" x14ac:dyDescent="0.2">
      <c r="A446" s="221"/>
    </row>
    <row r="447" spans="1:1" x14ac:dyDescent="0.2">
      <c r="A447" s="221"/>
    </row>
    <row r="448" spans="1:1" x14ac:dyDescent="0.2">
      <c r="A448" s="221"/>
    </row>
    <row r="449" spans="1:1" x14ac:dyDescent="0.2">
      <c r="A449" s="221"/>
    </row>
    <row r="450" spans="1:1" x14ac:dyDescent="0.2">
      <c r="A450" s="221"/>
    </row>
    <row r="451" spans="1:1" x14ac:dyDescent="0.2">
      <c r="A451" s="221"/>
    </row>
    <row r="452" spans="1:1" x14ac:dyDescent="0.2">
      <c r="A452" s="221"/>
    </row>
    <row r="453" spans="1:1" x14ac:dyDescent="0.2">
      <c r="A453" s="221"/>
    </row>
    <row r="454" spans="1:1" x14ac:dyDescent="0.2">
      <c r="A454" s="221"/>
    </row>
    <row r="455" spans="1:1" x14ac:dyDescent="0.2">
      <c r="A455" s="221"/>
    </row>
    <row r="456" spans="1:1" x14ac:dyDescent="0.2">
      <c r="A456" s="221"/>
    </row>
    <row r="457" spans="1:1" x14ac:dyDescent="0.2">
      <c r="A457" s="221"/>
    </row>
    <row r="458" spans="1:1" x14ac:dyDescent="0.2">
      <c r="A458" s="221"/>
    </row>
    <row r="459" spans="1:1" x14ac:dyDescent="0.2">
      <c r="A459" s="221"/>
    </row>
    <row r="460" spans="1:1" x14ac:dyDescent="0.2">
      <c r="A460" s="221"/>
    </row>
    <row r="461" spans="1:1" x14ac:dyDescent="0.2">
      <c r="A461" s="221"/>
    </row>
    <row r="462" spans="1:1" x14ac:dyDescent="0.2">
      <c r="A462" s="221"/>
    </row>
    <row r="463" spans="1:1" x14ac:dyDescent="0.2">
      <c r="A463" s="221"/>
    </row>
    <row r="464" spans="1:1" x14ac:dyDescent="0.2">
      <c r="A464" s="221"/>
    </row>
    <row r="465" spans="1:1" x14ac:dyDescent="0.2">
      <c r="A465" s="221"/>
    </row>
    <row r="466" spans="1:1" x14ac:dyDescent="0.2">
      <c r="A466" s="221"/>
    </row>
    <row r="467" spans="1:1" x14ac:dyDescent="0.2">
      <c r="A467" s="221"/>
    </row>
    <row r="468" spans="1:1" x14ac:dyDescent="0.2">
      <c r="A468" s="221"/>
    </row>
    <row r="469" spans="1:1" x14ac:dyDescent="0.2">
      <c r="A469" s="221"/>
    </row>
    <row r="470" spans="1:1" x14ac:dyDescent="0.2">
      <c r="A470" s="221"/>
    </row>
    <row r="471" spans="1:1" x14ac:dyDescent="0.2">
      <c r="A471" s="221"/>
    </row>
    <row r="472" spans="1:1" x14ac:dyDescent="0.2">
      <c r="A472" s="221"/>
    </row>
    <row r="473" spans="1:1" x14ac:dyDescent="0.2">
      <c r="A473" s="221"/>
    </row>
    <row r="474" spans="1:1" x14ac:dyDescent="0.2">
      <c r="A474" s="221"/>
    </row>
    <row r="475" spans="1:1" x14ac:dyDescent="0.2">
      <c r="A475" s="221"/>
    </row>
    <row r="476" spans="1:1" x14ac:dyDescent="0.2">
      <c r="A476" s="221"/>
    </row>
    <row r="477" spans="1:1" x14ac:dyDescent="0.2">
      <c r="A477" s="221"/>
    </row>
    <row r="478" spans="1:1" x14ac:dyDescent="0.2">
      <c r="A478" s="221"/>
    </row>
    <row r="479" spans="1:1" x14ac:dyDescent="0.2">
      <c r="A479" s="221"/>
    </row>
    <row r="480" spans="1:1" x14ac:dyDescent="0.2">
      <c r="A480" s="221"/>
    </row>
    <row r="481" spans="1:1" x14ac:dyDescent="0.2">
      <c r="A481" s="221"/>
    </row>
    <row r="482" spans="1:1" x14ac:dyDescent="0.2">
      <c r="A482" s="221"/>
    </row>
    <row r="483" spans="1:1" x14ac:dyDescent="0.2">
      <c r="A483" s="221"/>
    </row>
    <row r="484" spans="1:1" x14ac:dyDescent="0.2">
      <c r="A484" s="221"/>
    </row>
    <row r="485" spans="1:1" x14ac:dyDescent="0.2">
      <c r="A485" s="221"/>
    </row>
    <row r="486" spans="1:1" x14ac:dyDescent="0.2">
      <c r="A486" s="221"/>
    </row>
    <row r="487" spans="1:1" x14ac:dyDescent="0.2">
      <c r="A487" s="221"/>
    </row>
    <row r="488" spans="1:1" x14ac:dyDescent="0.2">
      <c r="A488" s="221"/>
    </row>
    <row r="489" spans="1:1" x14ac:dyDescent="0.2">
      <c r="A489" s="221"/>
    </row>
    <row r="490" spans="1:1" x14ac:dyDescent="0.2">
      <c r="A490" s="221"/>
    </row>
    <row r="491" spans="1:1" x14ac:dyDescent="0.2">
      <c r="A491" s="221"/>
    </row>
    <row r="492" spans="1:1" x14ac:dyDescent="0.2">
      <c r="A492" s="221"/>
    </row>
    <row r="493" spans="1:1" x14ac:dyDescent="0.2">
      <c r="A493" s="221"/>
    </row>
    <row r="494" spans="1:1" x14ac:dyDescent="0.2">
      <c r="A494" s="221"/>
    </row>
    <row r="495" spans="1:1" x14ac:dyDescent="0.2">
      <c r="A495" s="221"/>
    </row>
    <row r="496" spans="1:1" x14ac:dyDescent="0.2">
      <c r="A496" s="221"/>
    </row>
    <row r="497" spans="1:1" x14ac:dyDescent="0.2">
      <c r="A497" s="221"/>
    </row>
    <row r="498" spans="1:1" x14ac:dyDescent="0.2">
      <c r="A498" s="221"/>
    </row>
    <row r="499" spans="1:1" x14ac:dyDescent="0.2">
      <c r="A499" s="221"/>
    </row>
    <row r="500" spans="1:1" x14ac:dyDescent="0.2">
      <c r="A500" s="221"/>
    </row>
    <row r="501" spans="1:1" x14ac:dyDescent="0.2">
      <c r="A501" s="221"/>
    </row>
    <row r="502" spans="1:1" x14ac:dyDescent="0.2">
      <c r="A502" s="221"/>
    </row>
    <row r="503" spans="1:1" x14ac:dyDescent="0.2">
      <c r="A503" s="221"/>
    </row>
    <row r="504" spans="1:1" x14ac:dyDescent="0.2">
      <c r="A504" s="221"/>
    </row>
    <row r="505" spans="1:1" x14ac:dyDescent="0.2">
      <c r="A505" s="221"/>
    </row>
    <row r="506" spans="1:1" x14ac:dyDescent="0.2">
      <c r="A506" s="221"/>
    </row>
    <row r="507" spans="1:1" x14ac:dyDescent="0.2">
      <c r="A507" s="221"/>
    </row>
    <row r="508" spans="1:1" x14ac:dyDescent="0.2">
      <c r="A508" s="221"/>
    </row>
    <row r="509" spans="1:1" x14ac:dyDescent="0.2">
      <c r="A509" s="221"/>
    </row>
    <row r="510" spans="1:1" x14ac:dyDescent="0.2">
      <c r="A510" s="221"/>
    </row>
    <row r="511" spans="1:1" x14ac:dyDescent="0.2">
      <c r="A511" s="221"/>
    </row>
    <row r="512" spans="1:1" x14ac:dyDescent="0.2">
      <c r="A512" s="221"/>
    </row>
    <row r="513" spans="1:1" x14ac:dyDescent="0.2">
      <c r="A513" s="221"/>
    </row>
    <row r="514" spans="1:1" x14ac:dyDescent="0.2">
      <c r="A514" s="221"/>
    </row>
    <row r="515" spans="1:1" x14ac:dyDescent="0.2">
      <c r="A515" s="221"/>
    </row>
    <row r="516" spans="1:1" x14ac:dyDescent="0.2">
      <c r="A516" s="221"/>
    </row>
    <row r="517" spans="1:1" x14ac:dyDescent="0.2">
      <c r="A517" s="221"/>
    </row>
    <row r="518" spans="1:1" x14ac:dyDescent="0.2">
      <c r="A518" s="221"/>
    </row>
    <row r="519" spans="1:1" x14ac:dyDescent="0.2">
      <c r="A519" s="221"/>
    </row>
    <row r="520" spans="1:1" x14ac:dyDescent="0.2">
      <c r="A520" s="221"/>
    </row>
    <row r="521" spans="1:1" x14ac:dyDescent="0.2">
      <c r="A521" s="221"/>
    </row>
    <row r="522" spans="1:1" x14ac:dyDescent="0.2">
      <c r="A522" s="221"/>
    </row>
    <row r="523" spans="1:1" x14ac:dyDescent="0.2">
      <c r="A523" s="221"/>
    </row>
    <row r="524" spans="1:1" x14ac:dyDescent="0.2">
      <c r="A524" s="221"/>
    </row>
    <row r="525" spans="1:1" x14ac:dyDescent="0.2">
      <c r="A525" s="221"/>
    </row>
    <row r="526" spans="1:1" x14ac:dyDescent="0.2">
      <c r="A526" s="221"/>
    </row>
    <row r="527" spans="1:1" x14ac:dyDescent="0.2">
      <c r="A527" s="221"/>
    </row>
    <row r="528" spans="1:1" x14ac:dyDescent="0.2">
      <c r="A528" s="221"/>
    </row>
    <row r="529" spans="1:1" x14ac:dyDescent="0.2">
      <c r="A529" s="221"/>
    </row>
    <row r="530" spans="1:1" x14ac:dyDescent="0.2">
      <c r="A530" s="221"/>
    </row>
    <row r="531" spans="1:1" x14ac:dyDescent="0.2">
      <c r="A531" s="221"/>
    </row>
    <row r="532" spans="1:1" x14ac:dyDescent="0.2">
      <c r="A532" s="221"/>
    </row>
    <row r="533" spans="1:1" x14ac:dyDescent="0.2">
      <c r="A533" s="221"/>
    </row>
    <row r="534" spans="1:1" x14ac:dyDescent="0.2">
      <c r="A534" s="221"/>
    </row>
    <row r="535" spans="1:1" x14ac:dyDescent="0.2">
      <c r="A535" s="221"/>
    </row>
    <row r="536" spans="1:1" x14ac:dyDescent="0.2">
      <c r="A536" s="221"/>
    </row>
    <row r="537" spans="1:1" x14ac:dyDescent="0.2">
      <c r="A537" s="221"/>
    </row>
    <row r="538" spans="1:1" x14ac:dyDescent="0.2">
      <c r="A538" s="221"/>
    </row>
    <row r="539" spans="1:1" x14ac:dyDescent="0.2">
      <c r="A539" s="221"/>
    </row>
    <row r="540" spans="1:1" x14ac:dyDescent="0.2">
      <c r="A540" s="221"/>
    </row>
    <row r="541" spans="1:1" x14ac:dyDescent="0.2">
      <c r="A541" s="221"/>
    </row>
    <row r="542" spans="1:1" x14ac:dyDescent="0.2">
      <c r="A542" s="221"/>
    </row>
    <row r="543" spans="1:1" x14ac:dyDescent="0.2">
      <c r="A543" s="221"/>
    </row>
    <row r="544" spans="1:1" x14ac:dyDescent="0.2">
      <c r="A544" s="221"/>
    </row>
    <row r="545" spans="1:1" x14ac:dyDescent="0.2">
      <c r="A545" s="221"/>
    </row>
    <row r="546" spans="1:1" x14ac:dyDescent="0.2">
      <c r="A546" s="221"/>
    </row>
    <row r="547" spans="1:1" x14ac:dyDescent="0.2">
      <c r="A547" s="221"/>
    </row>
    <row r="548" spans="1:1" x14ac:dyDescent="0.2">
      <c r="A548" s="221"/>
    </row>
    <row r="549" spans="1:1" x14ac:dyDescent="0.2">
      <c r="A549" s="221"/>
    </row>
    <row r="550" spans="1:1" x14ac:dyDescent="0.2">
      <c r="A550" s="221"/>
    </row>
    <row r="551" spans="1:1" x14ac:dyDescent="0.2">
      <c r="A551" s="221"/>
    </row>
    <row r="552" spans="1:1" x14ac:dyDescent="0.2">
      <c r="A552" s="221"/>
    </row>
    <row r="553" spans="1:1" x14ac:dyDescent="0.2">
      <c r="A553" s="221"/>
    </row>
    <row r="554" spans="1:1" x14ac:dyDescent="0.2">
      <c r="A554" s="221"/>
    </row>
    <row r="555" spans="1:1" x14ac:dyDescent="0.2">
      <c r="A555" s="221"/>
    </row>
    <row r="556" spans="1:1" x14ac:dyDescent="0.2">
      <c r="A556" s="221"/>
    </row>
    <row r="557" spans="1:1" x14ac:dyDescent="0.2">
      <c r="A557" s="221"/>
    </row>
    <row r="558" spans="1:1" x14ac:dyDescent="0.2">
      <c r="A558" s="221"/>
    </row>
    <row r="559" spans="1:1" x14ac:dyDescent="0.2">
      <c r="A559" s="221"/>
    </row>
    <row r="560" spans="1:1" x14ac:dyDescent="0.2">
      <c r="A560" s="221"/>
    </row>
    <row r="561" spans="1:1" x14ac:dyDescent="0.2">
      <c r="A561" s="221"/>
    </row>
    <row r="562" spans="1:1" x14ac:dyDescent="0.2">
      <c r="A562" s="221"/>
    </row>
    <row r="563" spans="1:1" x14ac:dyDescent="0.2">
      <c r="A563" s="221"/>
    </row>
    <row r="564" spans="1:1" x14ac:dyDescent="0.2">
      <c r="A564" s="221"/>
    </row>
    <row r="565" spans="1:1" x14ac:dyDescent="0.2">
      <c r="A565" s="221"/>
    </row>
    <row r="566" spans="1:1" x14ac:dyDescent="0.2">
      <c r="A566" s="221"/>
    </row>
    <row r="567" spans="1:1" x14ac:dyDescent="0.2">
      <c r="A567" s="221"/>
    </row>
    <row r="568" spans="1:1" x14ac:dyDescent="0.2">
      <c r="A568" s="221"/>
    </row>
    <row r="569" spans="1:1" x14ac:dyDescent="0.2">
      <c r="A569" s="221"/>
    </row>
    <row r="570" spans="1:1" x14ac:dyDescent="0.2">
      <c r="A570" s="221"/>
    </row>
    <row r="571" spans="1:1" x14ac:dyDescent="0.2">
      <c r="A571" s="221"/>
    </row>
    <row r="572" spans="1:1" x14ac:dyDescent="0.2">
      <c r="A572" s="221"/>
    </row>
    <row r="573" spans="1:1" x14ac:dyDescent="0.2">
      <c r="A573" s="221"/>
    </row>
    <row r="574" spans="1:1" x14ac:dyDescent="0.2">
      <c r="A574" s="221"/>
    </row>
    <row r="575" spans="1:1" x14ac:dyDescent="0.2">
      <c r="A575" s="221"/>
    </row>
    <row r="576" spans="1:1" x14ac:dyDescent="0.2">
      <c r="A576" s="221"/>
    </row>
    <row r="577" spans="1:1" x14ac:dyDescent="0.2">
      <c r="A577" s="221"/>
    </row>
    <row r="578" spans="1:1" x14ac:dyDescent="0.2">
      <c r="A578" s="221"/>
    </row>
    <row r="579" spans="1:1" x14ac:dyDescent="0.2">
      <c r="A579" s="221"/>
    </row>
    <row r="580" spans="1:1" x14ac:dyDescent="0.2">
      <c r="A580" s="221"/>
    </row>
    <row r="581" spans="1:1" x14ac:dyDescent="0.2">
      <c r="A581" s="221"/>
    </row>
    <row r="582" spans="1:1" x14ac:dyDescent="0.2">
      <c r="A582" s="221"/>
    </row>
    <row r="583" spans="1:1" x14ac:dyDescent="0.2">
      <c r="A583" s="221"/>
    </row>
    <row r="584" spans="1:1" x14ac:dyDescent="0.2">
      <c r="A584" s="221"/>
    </row>
    <row r="585" spans="1:1" x14ac:dyDescent="0.2">
      <c r="A585" s="221"/>
    </row>
    <row r="586" spans="1:1" x14ac:dyDescent="0.2">
      <c r="A586" s="221"/>
    </row>
    <row r="587" spans="1:1" x14ac:dyDescent="0.2">
      <c r="A587" s="221"/>
    </row>
    <row r="588" spans="1:1" x14ac:dyDescent="0.2">
      <c r="A588" s="221"/>
    </row>
    <row r="589" spans="1:1" x14ac:dyDescent="0.2">
      <c r="A589" s="221"/>
    </row>
    <row r="590" spans="1:1" x14ac:dyDescent="0.2">
      <c r="A590" s="221"/>
    </row>
    <row r="591" spans="1:1" x14ac:dyDescent="0.2">
      <c r="A591" s="221"/>
    </row>
    <row r="592" spans="1:1" x14ac:dyDescent="0.2">
      <c r="A592" s="221"/>
    </row>
    <row r="593" spans="1:1" x14ac:dyDescent="0.2">
      <c r="A593" s="221"/>
    </row>
    <row r="594" spans="1:1" x14ac:dyDescent="0.2">
      <c r="A594" s="221"/>
    </row>
    <row r="595" spans="1:1" x14ac:dyDescent="0.2">
      <c r="A595" s="221"/>
    </row>
    <row r="596" spans="1:1" x14ac:dyDescent="0.2">
      <c r="A596" s="221"/>
    </row>
    <row r="597" spans="1:1" x14ac:dyDescent="0.2">
      <c r="A597" s="221"/>
    </row>
    <row r="598" spans="1:1" x14ac:dyDescent="0.2">
      <c r="A598" s="221"/>
    </row>
    <row r="599" spans="1:1" x14ac:dyDescent="0.2">
      <c r="A599" s="221"/>
    </row>
    <row r="600" spans="1:1" x14ac:dyDescent="0.2">
      <c r="A600" s="221"/>
    </row>
    <row r="601" spans="1:1" x14ac:dyDescent="0.2">
      <c r="A601" s="221"/>
    </row>
    <row r="602" spans="1:1" x14ac:dyDescent="0.2">
      <c r="A602" s="221"/>
    </row>
    <row r="603" spans="1:1" x14ac:dyDescent="0.2">
      <c r="A603" s="221"/>
    </row>
    <row r="604" spans="1:1" x14ac:dyDescent="0.2">
      <c r="A604" s="221"/>
    </row>
    <row r="605" spans="1:1" x14ac:dyDescent="0.2">
      <c r="A605" s="221"/>
    </row>
    <row r="606" spans="1:1" x14ac:dyDescent="0.2">
      <c r="A606" s="221"/>
    </row>
    <row r="607" spans="1:1" x14ac:dyDescent="0.2">
      <c r="A607" s="221"/>
    </row>
    <row r="608" spans="1:1" x14ac:dyDescent="0.2">
      <c r="A608" s="221"/>
    </row>
    <row r="609" spans="1:1" x14ac:dyDescent="0.2">
      <c r="A609" s="221"/>
    </row>
    <row r="610" spans="1:1" x14ac:dyDescent="0.2">
      <c r="A610" s="221"/>
    </row>
    <row r="611" spans="1:1" x14ac:dyDescent="0.2">
      <c r="A611" s="221"/>
    </row>
    <row r="612" spans="1:1" x14ac:dyDescent="0.2">
      <c r="A612" s="221"/>
    </row>
    <row r="613" spans="1:1" x14ac:dyDescent="0.2">
      <c r="A613" s="221"/>
    </row>
    <row r="614" spans="1:1" x14ac:dyDescent="0.2">
      <c r="A614" s="221"/>
    </row>
    <row r="615" spans="1:1" x14ac:dyDescent="0.2">
      <c r="A615" s="221"/>
    </row>
    <row r="616" spans="1:1" x14ac:dyDescent="0.2">
      <c r="A616" s="221"/>
    </row>
    <row r="617" spans="1:1" x14ac:dyDescent="0.2">
      <c r="A617" s="221"/>
    </row>
    <row r="618" spans="1:1" x14ac:dyDescent="0.2">
      <c r="A618" s="221"/>
    </row>
    <row r="619" spans="1:1" x14ac:dyDescent="0.2">
      <c r="A619" s="221"/>
    </row>
    <row r="620" spans="1:1" x14ac:dyDescent="0.2">
      <c r="A620" s="221"/>
    </row>
    <row r="621" spans="1:1" x14ac:dyDescent="0.2">
      <c r="A621" s="221"/>
    </row>
    <row r="622" spans="1:1" x14ac:dyDescent="0.2">
      <c r="A622" s="221"/>
    </row>
    <row r="623" spans="1:1" x14ac:dyDescent="0.2">
      <c r="A623" s="221"/>
    </row>
    <row r="624" spans="1:1" x14ac:dyDescent="0.2">
      <c r="A624" s="221"/>
    </row>
    <row r="625" spans="1:1" x14ac:dyDescent="0.2">
      <c r="A625" s="221"/>
    </row>
    <row r="626" spans="1:1" x14ac:dyDescent="0.2">
      <c r="A626" s="221"/>
    </row>
    <row r="627" spans="1:1" x14ac:dyDescent="0.2">
      <c r="A627" s="221"/>
    </row>
    <row r="628" spans="1:1" x14ac:dyDescent="0.2">
      <c r="A628" s="221"/>
    </row>
    <row r="629" spans="1:1" x14ac:dyDescent="0.2">
      <c r="A629" s="221"/>
    </row>
    <row r="630" spans="1:1" x14ac:dyDescent="0.2">
      <c r="A630" s="221"/>
    </row>
    <row r="631" spans="1:1" x14ac:dyDescent="0.2">
      <c r="A631" s="221"/>
    </row>
    <row r="632" spans="1:1" x14ac:dyDescent="0.2">
      <c r="A632" s="221"/>
    </row>
    <row r="633" spans="1:1" x14ac:dyDescent="0.2">
      <c r="A633" s="221"/>
    </row>
    <row r="634" spans="1:1" x14ac:dyDescent="0.2">
      <c r="A634" s="221"/>
    </row>
    <row r="635" spans="1:1" x14ac:dyDescent="0.2">
      <c r="A635" s="221"/>
    </row>
    <row r="636" spans="1:1" x14ac:dyDescent="0.2">
      <c r="A636" s="221"/>
    </row>
    <row r="637" spans="1:1" x14ac:dyDescent="0.2">
      <c r="A637" s="221"/>
    </row>
    <row r="638" spans="1:1" x14ac:dyDescent="0.2">
      <c r="A638" s="221"/>
    </row>
    <row r="639" spans="1:1" x14ac:dyDescent="0.2">
      <c r="A639" s="221"/>
    </row>
    <row r="640" spans="1:1" x14ac:dyDescent="0.2">
      <c r="A640" s="221"/>
    </row>
    <row r="641" spans="1:1" x14ac:dyDescent="0.2">
      <c r="A641" s="221"/>
    </row>
    <row r="642" spans="1:1" x14ac:dyDescent="0.2">
      <c r="A642" s="221"/>
    </row>
    <row r="643" spans="1:1" x14ac:dyDescent="0.2">
      <c r="A643" s="221"/>
    </row>
    <row r="644" spans="1:1" x14ac:dyDescent="0.2">
      <c r="A644" s="221"/>
    </row>
    <row r="645" spans="1:1" x14ac:dyDescent="0.2">
      <c r="A645" s="221"/>
    </row>
    <row r="646" spans="1:1" x14ac:dyDescent="0.2">
      <c r="A646" s="221"/>
    </row>
    <row r="647" spans="1:1" x14ac:dyDescent="0.2">
      <c r="A647" s="221"/>
    </row>
    <row r="648" spans="1:1" x14ac:dyDescent="0.2">
      <c r="A648" s="221"/>
    </row>
    <row r="649" spans="1:1" x14ac:dyDescent="0.2">
      <c r="A649" s="221"/>
    </row>
    <row r="650" spans="1:1" x14ac:dyDescent="0.2">
      <c r="A650" s="221"/>
    </row>
    <row r="651" spans="1:1" x14ac:dyDescent="0.2">
      <c r="A651" s="221"/>
    </row>
    <row r="652" spans="1:1" x14ac:dyDescent="0.2">
      <c r="A652" s="221"/>
    </row>
    <row r="653" spans="1:1" x14ac:dyDescent="0.2">
      <c r="A653" s="221"/>
    </row>
    <row r="654" spans="1:1" x14ac:dyDescent="0.2">
      <c r="A654" s="221"/>
    </row>
    <row r="655" spans="1:1" x14ac:dyDescent="0.2">
      <c r="A655" s="221"/>
    </row>
    <row r="656" spans="1:1" x14ac:dyDescent="0.2">
      <c r="A656" s="221"/>
    </row>
    <row r="657" spans="1:1" x14ac:dyDescent="0.2">
      <c r="A657" s="221"/>
    </row>
    <row r="658" spans="1:1" x14ac:dyDescent="0.2">
      <c r="A658" s="221"/>
    </row>
    <row r="659" spans="1:1" x14ac:dyDescent="0.2">
      <c r="A659" s="221"/>
    </row>
    <row r="660" spans="1:1" x14ac:dyDescent="0.2">
      <c r="A660" s="221"/>
    </row>
    <row r="661" spans="1:1" x14ac:dyDescent="0.2">
      <c r="A661" s="221"/>
    </row>
    <row r="662" spans="1:1" x14ac:dyDescent="0.2">
      <c r="A662" s="221"/>
    </row>
    <row r="663" spans="1:1" x14ac:dyDescent="0.2">
      <c r="A663" s="221"/>
    </row>
    <row r="664" spans="1:1" x14ac:dyDescent="0.2">
      <c r="A664" s="221"/>
    </row>
    <row r="665" spans="1:1" x14ac:dyDescent="0.2">
      <c r="A665" s="221"/>
    </row>
    <row r="666" spans="1:1" x14ac:dyDescent="0.2">
      <c r="A666" s="221"/>
    </row>
    <row r="667" spans="1:1" x14ac:dyDescent="0.2">
      <c r="A667" s="221"/>
    </row>
    <row r="668" spans="1:1" x14ac:dyDescent="0.2">
      <c r="A668" s="221"/>
    </row>
    <row r="669" spans="1:1" x14ac:dyDescent="0.2">
      <c r="A669" s="221"/>
    </row>
    <row r="670" spans="1:1" x14ac:dyDescent="0.2">
      <c r="A670" s="221"/>
    </row>
    <row r="671" spans="1:1" x14ac:dyDescent="0.2">
      <c r="A671" s="221"/>
    </row>
    <row r="672" spans="1:1" x14ac:dyDescent="0.2">
      <c r="A672" s="221"/>
    </row>
    <row r="673" spans="1:1" x14ac:dyDescent="0.2">
      <c r="A673" s="221"/>
    </row>
    <row r="674" spans="1:1" x14ac:dyDescent="0.2">
      <c r="A674" s="221"/>
    </row>
    <row r="675" spans="1:1" x14ac:dyDescent="0.2">
      <c r="A675" s="221"/>
    </row>
    <row r="676" spans="1:1" x14ac:dyDescent="0.2">
      <c r="A676" s="221"/>
    </row>
    <row r="677" spans="1:1" x14ac:dyDescent="0.2">
      <c r="A677" s="221"/>
    </row>
    <row r="678" spans="1:1" x14ac:dyDescent="0.2">
      <c r="A678" s="221"/>
    </row>
    <row r="679" spans="1:1" x14ac:dyDescent="0.2">
      <c r="A679" s="221"/>
    </row>
    <row r="680" spans="1:1" x14ac:dyDescent="0.2">
      <c r="A680" s="221"/>
    </row>
    <row r="681" spans="1:1" x14ac:dyDescent="0.2">
      <c r="A681" s="221"/>
    </row>
    <row r="682" spans="1:1" x14ac:dyDescent="0.2">
      <c r="A682" s="221"/>
    </row>
    <row r="683" spans="1:1" x14ac:dyDescent="0.2">
      <c r="A683" s="221"/>
    </row>
    <row r="684" spans="1:1" x14ac:dyDescent="0.2">
      <c r="A684" s="221"/>
    </row>
    <row r="685" spans="1:1" x14ac:dyDescent="0.2">
      <c r="A685" s="221"/>
    </row>
    <row r="686" spans="1:1" x14ac:dyDescent="0.2">
      <c r="A686" s="221"/>
    </row>
    <row r="687" spans="1:1" x14ac:dyDescent="0.2">
      <c r="A687" s="221"/>
    </row>
    <row r="688" spans="1:1" x14ac:dyDescent="0.2">
      <c r="A688" s="221"/>
    </row>
    <row r="689" spans="1:1" x14ac:dyDescent="0.2">
      <c r="A689" s="221"/>
    </row>
    <row r="690" spans="1:1" x14ac:dyDescent="0.2">
      <c r="A690" s="221"/>
    </row>
    <row r="691" spans="1:1" x14ac:dyDescent="0.2">
      <c r="A691" s="221"/>
    </row>
    <row r="692" spans="1:1" x14ac:dyDescent="0.2">
      <c r="A692" s="221"/>
    </row>
    <row r="693" spans="1:1" x14ac:dyDescent="0.2">
      <c r="A693" s="221"/>
    </row>
    <row r="694" spans="1:1" x14ac:dyDescent="0.2">
      <c r="A694" s="221"/>
    </row>
    <row r="695" spans="1:1" x14ac:dyDescent="0.2">
      <c r="A695" s="221"/>
    </row>
    <row r="696" spans="1:1" x14ac:dyDescent="0.2">
      <c r="A696" s="221"/>
    </row>
    <row r="697" spans="1:1" x14ac:dyDescent="0.2">
      <c r="A697" s="221"/>
    </row>
    <row r="698" spans="1:1" x14ac:dyDescent="0.2">
      <c r="A698" s="221"/>
    </row>
  </sheetData>
  <mergeCells count="19">
    <mergeCell ref="P6:P7"/>
    <mergeCell ref="Q6:Q7"/>
    <mergeCell ref="R6:R7"/>
    <mergeCell ref="S6:S7"/>
    <mergeCell ref="T6:T7"/>
    <mergeCell ref="A38:H38"/>
    <mergeCell ref="I6:I7"/>
    <mergeCell ref="J6:J7"/>
    <mergeCell ref="K6:K7"/>
    <mergeCell ref="M6:M7"/>
    <mergeCell ref="N6:N7"/>
    <mergeCell ref="O6:O7"/>
    <mergeCell ref="A2:H2"/>
    <mergeCell ref="A4:H4"/>
    <mergeCell ref="B6:D7"/>
    <mergeCell ref="E6:E7"/>
    <mergeCell ref="F6:F7"/>
    <mergeCell ref="G6:G7"/>
    <mergeCell ref="H6:H7"/>
  </mergeCells>
  <printOptions horizontalCentered="1"/>
  <pageMargins left="0.27" right="0.16" top="0.17" bottom="0.26" header="0.28999999999999998" footer="0.17"/>
  <pageSetup scale="75" orientation="landscape" r:id="rId1"/>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K698"/>
  <sheetViews>
    <sheetView zoomScale="75" zoomScaleNormal="100" workbookViewId="0">
      <pane xSplit="4" ySplit="7" topLeftCell="E8" activePane="bottomRight" state="frozen"/>
      <selection activeCell="A74" sqref="A74:N74"/>
      <selection pane="topRight" activeCell="A74" sqref="A74:N74"/>
      <selection pane="bottomLeft" activeCell="A74" sqref="A74:N74"/>
      <selection pane="bottomRight" activeCell="E8" sqref="E8"/>
    </sheetView>
  </sheetViews>
  <sheetFormatPr defaultColWidth="9.140625" defaultRowHeight="14.25" x14ac:dyDescent="0.2"/>
  <cols>
    <col min="1" max="1" width="4.140625" style="33" customWidth="1"/>
    <col min="2" max="2" width="5.42578125" style="14" customWidth="1"/>
    <col min="3" max="3" width="4.5703125" style="14" customWidth="1"/>
    <col min="4" max="4" width="48.7109375" style="505" customWidth="1"/>
    <col min="5" max="5" width="7.42578125" style="4" customWidth="1"/>
    <col min="6" max="6" width="10.140625" style="4" customWidth="1"/>
    <col min="7" max="7" width="14.28515625" style="265" customWidth="1"/>
    <col min="8" max="8" width="92.140625" style="282" customWidth="1"/>
    <col min="9" max="9" width="11.7109375" style="14" customWidth="1"/>
    <col min="10" max="10" width="11.5703125" style="14" customWidth="1"/>
    <col min="11" max="11" width="15.7109375" style="14" customWidth="1"/>
    <col min="12" max="12" width="12.7109375" style="14" bestFit="1" customWidth="1"/>
    <col min="13" max="13" width="27" style="14" bestFit="1" customWidth="1"/>
    <col min="14" max="22" width="11.5703125" style="14" customWidth="1"/>
    <col min="23" max="32" width="11.5703125" style="505" customWidth="1"/>
    <col min="33" max="16384" width="9.140625" style="505"/>
  </cols>
  <sheetData>
    <row r="1" spans="1:37" ht="33.75" customHeight="1" x14ac:dyDescent="0.25">
      <c r="A1" s="507" t="s">
        <v>313</v>
      </c>
      <c r="B1" s="337"/>
      <c r="C1" s="337"/>
      <c r="D1" s="339" t="str">
        <f>'Startup Statement of Activities'!$D$1</f>
        <v>KIPP New Orleans</v>
      </c>
      <c r="E1" s="6"/>
      <c r="F1" s="6"/>
      <c r="G1" s="263"/>
      <c r="H1" s="273"/>
      <c r="I1" s="22"/>
      <c r="J1" s="22"/>
      <c r="K1" s="22"/>
      <c r="L1" s="22"/>
    </row>
    <row r="2" spans="1:37" ht="18" customHeight="1" x14ac:dyDescent="0.25">
      <c r="A2" s="653" t="s">
        <v>483</v>
      </c>
      <c r="B2" s="653"/>
      <c r="C2" s="653"/>
      <c r="D2" s="653"/>
      <c r="E2" s="653"/>
      <c r="F2" s="653"/>
      <c r="G2" s="653"/>
      <c r="H2" s="653"/>
      <c r="I2" s="246"/>
      <c r="J2" s="246"/>
      <c r="K2" s="246"/>
      <c r="L2" s="246"/>
      <c r="M2" s="246"/>
      <c r="N2" s="246"/>
      <c r="O2" s="246"/>
      <c r="P2" s="246"/>
      <c r="Q2" s="246"/>
      <c r="R2" s="246"/>
      <c r="S2" s="246"/>
      <c r="T2" s="246"/>
    </row>
    <row r="3" spans="1:37" ht="18" customHeight="1" x14ac:dyDescent="0.25">
      <c r="A3" s="510"/>
      <c r="B3" s="510"/>
      <c r="C3" s="510"/>
      <c r="D3" s="510"/>
      <c r="E3" s="510"/>
      <c r="F3" s="510"/>
      <c r="G3" s="510"/>
      <c r="H3" s="510"/>
      <c r="I3" s="246"/>
      <c r="J3" s="246"/>
      <c r="K3" s="246"/>
      <c r="L3" s="246"/>
      <c r="M3" s="246"/>
      <c r="N3" s="246"/>
      <c r="O3" s="246"/>
      <c r="P3" s="246"/>
      <c r="Q3" s="246"/>
      <c r="R3" s="246"/>
      <c r="S3" s="246"/>
      <c r="T3" s="246"/>
    </row>
    <row r="4" spans="1:37" ht="35.25" customHeight="1" x14ac:dyDescent="0.25">
      <c r="A4" s="661" t="s">
        <v>361</v>
      </c>
      <c r="B4" s="662"/>
      <c r="C4" s="662"/>
      <c r="D4" s="662"/>
      <c r="E4" s="662"/>
      <c r="F4" s="662"/>
      <c r="G4" s="662"/>
      <c r="H4" s="663"/>
      <c r="I4" s="246"/>
      <c r="J4" s="246"/>
      <c r="K4" s="246"/>
      <c r="L4" s="246"/>
      <c r="M4" s="246"/>
      <c r="N4" s="246"/>
      <c r="O4" s="246"/>
      <c r="P4" s="246"/>
      <c r="Q4" s="246"/>
      <c r="R4" s="246"/>
      <c r="S4" s="246"/>
      <c r="T4" s="246"/>
    </row>
    <row r="5" spans="1:37" ht="18.75" customHeight="1" thickBot="1" x14ac:dyDescent="0.3">
      <c r="A5" s="28"/>
      <c r="B5" s="22"/>
      <c r="C5" s="22"/>
      <c r="D5" s="6"/>
      <c r="E5" s="6"/>
      <c r="F5" s="6"/>
      <c r="G5" s="263"/>
      <c r="H5" s="273"/>
      <c r="I5" s="22"/>
      <c r="J5" s="22"/>
      <c r="K5" s="22"/>
      <c r="L5" s="22"/>
    </row>
    <row r="6" spans="1:37" s="2" customFormat="1" ht="15.75" customHeight="1" thickTop="1" x14ac:dyDescent="0.25">
      <c r="A6" s="29"/>
      <c r="B6" s="641" t="s">
        <v>239</v>
      </c>
      <c r="C6" s="642"/>
      <c r="D6" s="642"/>
      <c r="E6" s="644" t="s">
        <v>232</v>
      </c>
      <c r="F6" s="657" t="s">
        <v>233</v>
      </c>
      <c r="G6" s="664" t="s">
        <v>314</v>
      </c>
      <c r="H6" s="659" t="s">
        <v>315</v>
      </c>
      <c r="I6" s="651"/>
      <c r="J6" s="651"/>
      <c r="K6" s="651"/>
      <c r="L6" s="508"/>
      <c r="M6" s="651"/>
      <c r="N6" s="651"/>
      <c r="O6" s="651"/>
      <c r="P6" s="651"/>
      <c r="Q6" s="649"/>
      <c r="R6" s="649"/>
      <c r="S6" s="649"/>
      <c r="T6" s="649"/>
      <c r="U6" s="239"/>
      <c r="V6" s="239"/>
      <c r="W6" s="239"/>
      <c r="X6" s="239"/>
      <c r="Y6" s="239"/>
      <c r="Z6" s="239"/>
      <c r="AA6" s="239"/>
      <c r="AB6" s="239"/>
      <c r="AC6" s="239"/>
      <c r="AD6" s="239"/>
      <c r="AE6" s="239"/>
      <c r="AF6" s="239"/>
      <c r="AG6" s="239"/>
      <c r="AH6" s="239"/>
      <c r="AI6" s="239"/>
      <c r="AJ6" s="239"/>
      <c r="AK6" s="239"/>
    </row>
    <row r="7" spans="1:37" s="41" customFormat="1" ht="15.75" thickBot="1" x14ac:dyDescent="0.3">
      <c r="A7" s="38"/>
      <c r="B7" s="655"/>
      <c r="C7" s="655"/>
      <c r="D7" s="655"/>
      <c r="E7" s="656"/>
      <c r="F7" s="658"/>
      <c r="G7" s="665"/>
      <c r="H7" s="660"/>
      <c r="I7" s="652"/>
      <c r="J7" s="652"/>
      <c r="K7" s="652"/>
      <c r="L7" s="509"/>
      <c r="M7" s="652"/>
      <c r="N7" s="652"/>
      <c r="O7" s="652"/>
      <c r="P7" s="652"/>
      <c r="Q7" s="650"/>
      <c r="R7" s="650"/>
      <c r="S7" s="650"/>
      <c r="T7" s="650"/>
      <c r="U7" s="239"/>
      <c r="V7" s="239"/>
      <c r="W7" s="239"/>
      <c r="X7" s="239"/>
      <c r="Y7" s="239"/>
      <c r="Z7" s="239"/>
      <c r="AA7" s="239"/>
      <c r="AB7" s="239"/>
      <c r="AC7" s="239"/>
      <c r="AD7" s="239"/>
      <c r="AE7" s="239"/>
      <c r="AF7" s="239"/>
      <c r="AG7" s="239"/>
      <c r="AH7" s="239"/>
      <c r="AI7" s="239"/>
      <c r="AJ7" s="239"/>
      <c r="AK7" s="239"/>
    </row>
    <row r="8" spans="1:37" s="40" customFormat="1" ht="20.25" customHeight="1" thickTop="1" x14ac:dyDescent="0.25">
      <c r="A8" s="39"/>
      <c r="B8" s="42" t="s">
        <v>267</v>
      </c>
      <c r="E8" s="70"/>
      <c r="F8" s="245"/>
      <c r="G8" s="300"/>
      <c r="H8" s="274"/>
      <c r="I8" s="487"/>
      <c r="J8" s="487"/>
      <c r="K8" s="487"/>
      <c r="L8" s="487"/>
      <c r="M8" s="487"/>
      <c r="N8" s="487"/>
      <c r="O8" s="487"/>
      <c r="P8" s="487"/>
      <c r="Q8" s="237"/>
      <c r="R8" s="237"/>
      <c r="S8" s="237"/>
      <c r="T8" s="237"/>
      <c r="U8" s="102"/>
      <c r="V8" s="102"/>
      <c r="W8" s="102"/>
      <c r="X8" s="102"/>
      <c r="Y8" s="102"/>
      <c r="Z8" s="102"/>
      <c r="AA8" s="102"/>
      <c r="AB8" s="102"/>
      <c r="AC8" s="102"/>
      <c r="AD8" s="102"/>
      <c r="AE8" s="102"/>
      <c r="AF8" s="102"/>
      <c r="AG8" s="102"/>
      <c r="AH8" s="102"/>
      <c r="AI8" s="102"/>
      <c r="AJ8" s="102"/>
      <c r="AK8" s="102"/>
    </row>
    <row r="9" spans="1:37" ht="3" customHeight="1" x14ac:dyDescent="0.2">
      <c r="A9" s="30"/>
      <c r="B9" s="36"/>
      <c r="C9" s="13"/>
      <c r="D9" s="13"/>
      <c r="E9" s="72"/>
      <c r="F9" s="157"/>
      <c r="G9" s="301"/>
      <c r="H9" s="275"/>
      <c r="I9" s="487"/>
      <c r="J9" s="487"/>
      <c r="K9" s="487"/>
      <c r="L9" s="487"/>
      <c r="M9" s="487"/>
      <c r="N9" s="487"/>
      <c r="O9" s="487"/>
      <c r="P9" s="487"/>
      <c r="Q9" s="237"/>
      <c r="R9" s="237"/>
      <c r="S9" s="237"/>
      <c r="T9" s="237"/>
      <c r="U9" s="102"/>
      <c r="V9" s="102"/>
      <c r="W9" s="102"/>
      <c r="X9" s="102"/>
      <c r="Y9" s="102"/>
      <c r="Z9" s="102"/>
      <c r="AA9" s="102"/>
      <c r="AB9" s="102"/>
      <c r="AC9" s="102"/>
      <c r="AD9" s="102"/>
      <c r="AE9" s="102"/>
      <c r="AF9" s="102"/>
      <c r="AG9" s="102"/>
      <c r="AH9" s="102"/>
      <c r="AI9" s="102"/>
      <c r="AJ9" s="102"/>
      <c r="AK9" s="102"/>
    </row>
    <row r="10" spans="1:37" x14ac:dyDescent="0.2">
      <c r="A10" s="31"/>
      <c r="B10" s="26" t="s">
        <v>32</v>
      </c>
      <c r="C10" s="12"/>
      <c r="D10" s="12"/>
      <c r="E10" s="62"/>
      <c r="F10" s="158"/>
      <c r="G10" s="302"/>
      <c r="H10" s="276"/>
      <c r="I10" s="487"/>
      <c r="J10" s="487"/>
      <c r="K10" s="487"/>
      <c r="L10" s="487"/>
      <c r="M10" s="487"/>
      <c r="N10" s="487"/>
      <c r="O10" s="487"/>
      <c r="P10" s="487"/>
      <c r="Q10" s="237"/>
      <c r="R10" s="237"/>
      <c r="S10" s="237"/>
      <c r="T10" s="237"/>
      <c r="U10" s="102"/>
      <c r="V10" s="102"/>
      <c r="W10" s="102"/>
      <c r="X10" s="102"/>
      <c r="Y10" s="102"/>
      <c r="Z10" s="102"/>
      <c r="AA10" s="102"/>
      <c r="AB10" s="102"/>
      <c r="AC10" s="102"/>
      <c r="AD10" s="102"/>
      <c r="AE10" s="102"/>
      <c r="AF10" s="102"/>
      <c r="AG10" s="102"/>
      <c r="AH10" s="102"/>
      <c r="AI10" s="102"/>
      <c r="AJ10" s="102"/>
      <c r="AK10" s="102"/>
    </row>
    <row r="11" spans="1:37" x14ac:dyDescent="0.2">
      <c r="A11" s="211">
        <v>1</v>
      </c>
      <c r="B11" s="37"/>
      <c r="C11" s="10" t="s">
        <v>293</v>
      </c>
      <c r="D11" s="10"/>
      <c r="E11" s="19"/>
      <c r="F11" s="159" t="s">
        <v>277</v>
      </c>
      <c r="G11" s="303">
        <f>+'KIPP Assumptions'!D$6*SUM('KIPP Assumptions'!D$17,'KIPP Assumptions'!D$19)</f>
        <v>3860642.75</v>
      </c>
      <c r="H11" s="277"/>
      <c r="I11" s="487"/>
      <c r="J11" s="487"/>
      <c r="K11" s="487"/>
      <c r="L11" s="487"/>
      <c r="M11" s="487"/>
      <c r="N11" s="487"/>
      <c r="O11" s="487"/>
      <c r="P11" s="487"/>
      <c r="Q11" s="237"/>
      <c r="R11" s="237"/>
      <c r="S11" s="237"/>
      <c r="T11" s="237"/>
      <c r="U11" s="102"/>
      <c r="V11" s="102"/>
      <c r="W11" s="102"/>
      <c r="X11" s="102"/>
      <c r="Y11" s="102"/>
      <c r="Z11" s="102"/>
      <c r="AA11" s="102"/>
      <c r="AB11" s="102"/>
      <c r="AC11" s="102"/>
      <c r="AD11" s="102"/>
      <c r="AE11" s="102"/>
      <c r="AF11" s="102"/>
      <c r="AG11" s="102"/>
      <c r="AH11" s="102"/>
      <c r="AI11" s="102"/>
      <c r="AJ11" s="102"/>
      <c r="AK11" s="102"/>
    </row>
    <row r="12" spans="1:37" x14ac:dyDescent="0.2">
      <c r="A12" s="211">
        <v>2</v>
      </c>
      <c r="B12" s="37"/>
      <c r="C12" s="10" t="s">
        <v>35</v>
      </c>
      <c r="D12" s="10"/>
      <c r="E12" s="19"/>
      <c r="F12" s="159" t="s">
        <v>216</v>
      </c>
      <c r="G12" s="303">
        <v>0</v>
      </c>
      <c r="H12" s="277"/>
      <c r="I12" s="487"/>
      <c r="J12" s="487"/>
      <c r="K12" s="487"/>
      <c r="L12" s="487"/>
      <c r="M12" s="487"/>
      <c r="N12" s="487"/>
      <c r="O12" s="487"/>
      <c r="P12" s="487"/>
      <c r="Q12" s="237"/>
      <c r="R12" s="237"/>
      <c r="S12" s="237"/>
      <c r="T12" s="237"/>
      <c r="U12" s="102"/>
      <c r="V12" s="102"/>
      <c r="W12" s="102"/>
      <c r="X12" s="102"/>
      <c r="Y12" s="102"/>
      <c r="Z12" s="102"/>
      <c r="AA12" s="102"/>
      <c r="AB12" s="102"/>
      <c r="AC12" s="102"/>
      <c r="AD12" s="102"/>
      <c r="AE12" s="102"/>
      <c r="AF12" s="102"/>
      <c r="AG12" s="102"/>
      <c r="AH12" s="102"/>
      <c r="AI12" s="102"/>
      <c r="AJ12" s="102"/>
      <c r="AK12" s="102"/>
    </row>
    <row r="13" spans="1:37" x14ac:dyDescent="0.2">
      <c r="A13" s="211">
        <v>3</v>
      </c>
      <c r="B13" s="37"/>
      <c r="C13" s="10" t="s">
        <v>36</v>
      </c>
      <c r="D13" s="10"/>
      <c r="E13" s="19"/>
      <c r="F13" s="159" t="s">
        <v>217</v>
      </c>
      <c r="G13" s="303">
        <v>0</v>
      </c>
      <c r="H13" s="277"/>
      <c r="I13" s="487"/>
      <c r="J13" s="487"/>
      <c r="K13" s="487"/>
      <c r="L13" s="487"/>
      <c r="M13" s="487"/>
      <c r="N13" s="487"/>
      <c r="O13" s="487"/>
      <c r="P13" s="487"/>
      <c r="Q13" s="237"/>
      <c r="R13" s="237"/>
      <c r="S13" s="237"/>
      <c r="T13" s="237"/>
      <c r="U13" s="102"/>
      <c r="V13" s="102"/>
      <c r="W13" s="102"/>
      <c r="X13" s="102"/>
      <c r="Y13" s="102"/>
      <c r="Z13" s="102"/>
      <c r="AA13" s="102"/>
      <c r="AB13" s="102"/>
      <c r="AC13" s="102"/>
      <c r="AD13" s="102"/>
      <c r="AE13" s="102"/>
      <c r="AF13" s="102"/>
      <c r="AG13" s="102"/>
      <c r="AH13" s="102"/>
      <c r="AI13" s="102"/>
      <c r="AJ13" s="102"/>
      <c r="AK13" s="102"/>
    </row>
    <row r="14" spans="1:37" x14ac:dyDescent="0.2">
      <c r="A14" s="211">
        <v>4</v>
      </c>
      <c r="B14" s="37"/>
      <c r="C14" s="10" t="s">
        <v>37</v>
      </c>
      <c r="D14" s="10"/>
      <c r="E14" s="19"/>
      <c r="F14" s="159">
        <v>1800</v>
      </c>
      <c r="G14" s="303">
        <v>0</v>
      </c>
      <c r="H14" s="277"/>
      <c r="I14" s="487"/>
      <c r="J14" s="487"/>
      <c r="K14" s="487"/>
      <c r="L14" s="487"/>
      <c r="M14" s="487"/>
      <c r="N14" s="487"/>
      <c r="O14" s="487"/>
      <c r="P14" s="487"/>
      <c r="Q14" s="237"/>
      <c r="R14" s="237"/>
      <c r="S14" s="237"/>
      <c r="T14" s="237"/>
      <c r="U14" s="102"/>
      <c r="V14" s="102"/>
      <c r="W14" s="102"/>
      <c r="X14" s="102"/>
      <c r="Y14" s="102"/>
      <c r="Z14" s="102"/>
      <c r="AA14" s="102"/>
      <c r="AB14" s="102"/>
      <c r="AC14" s="102"/>
      <c r="AD14" s="102"/>
      <c r="AE14" s="102"/>
      <c r="AF14" s="102"/>
      <c r="AG14" s="102"/>
      <c r="AH14" s="102"/>
      <c r="AI14" s="102"/>
      <c r="AJ14" s="102"/>
      <c r="AK14" s="102"/>
    </row>
    <row r="15" spans="1:37" x14ac:dyDescent="0.2">
      <c r="A15" s="211"/>
      <c r="B15" s="37"/>
      <c r="C15" s="10" t="s">
        <v>38</v>
      </c>
      <c r="D15" s="10"/>
      <c r="E15" s="62"/>
      <c r="F15" s="158"/>
      <c r="G15" s="302"/>
      <c r="H15" s="276"/>
      <c r="I15" s="487"/>
      <c r="J15" s="487"/>
      <c r="K15" s="487"/>
      <c r="L15" s="487"/>
      <c r="M15" s="487"/>
      <c r="N15" s="487"/>
      <c r="O15" s="487"/>
      <c r="P15" s="487"/>
      <c r="Q15" s="237"/>
      <c r="R15" s="237"/>
      <c r="S15" s="237"/>
      <c r="T15" s="237"/>
      <c r="U15" s="102"/>
      <c r="V15" s="102"/>
      <c r="W15" s="102"/>
      <c r="X15" s="102"/>
      <c r="Y15" s="102"/>
      <c r="Z15" s="102"/>
      <c r="AA15" s="102"/>
      <c r="AB15" s="102"/>
      <c r="AC15" s="102"/>
      <c r="AD15" s="102"/>
      <c r="AE15" s="102"/>
      <c r="AF15" s="102"/>
      <c r="AG15" s="102"/>
      <c r="AH15" s="102"/>
      <c r="AI15" s="102"/>
      <c r="AJ15" s="102"/>
      <c r="AK15" s="102"/>
    </row>
    <row r="16" spans="1:37" x14ac:dyDescent="0.2">
      <c r="A16" s="211">
        <v>5</v>
      </c>
      <c r="B16" s="37"/>
      <c r="C16" s="10"/>
      <c r="D16" s="10" t="s">
        <v>39</v>
      </c>
      <c r="E16" s="19"/>
      <c r="F16" s="159" t="s">
        <v>40</v>
      </c>
      <c r="G16" s="303">
        <f>'KIPP Assumptions'!D$45</f>
        <v>296514</v>
      </c>
      <c r="H16" s="277"/>
      <c r="I16" s="487"/>
      <c r="J16" s="487"/>
      <c r="K16" s="487"/>
      <c r="L16" s="487"/>
      <c r="M16" s="487"/>
      <c r="N16" s="487"/>
      <c r="O16" s="487"/>
      <c r="P16" s="487"/>
      <c r="Q16" s="237"/>
      <c r="R16" s="237"/>
      <c r="S16" s="237"/>
      <c r="T16" s="237"/>
      <c r="U16" s="102"/>
      <c r="V16" s="102"/>
      <c r="W16" s="102"/>
      <c r="X16" s="102"/>
      <c r="Y16" s="102"/>
      <c r="Z16" s="102"/>
      <c r="AA16" s="102"/>
      <c r="AB16" s="102"/>
      <c r="AC16" s="102"/>
      <c r="AD16" s="102"/>
      <c r="AE16" s="102"/>
      <c r="AF16" s="102"/>
      <c r="AG16" s="102"/>
      <c r="AH16" s="102"/>
      <c r="AI16" s="102"/>
      <c r="AJ16" s="102"/>
      <c r="AK16" s="102"/>
    </row>
    <row r="17" spans="1:37" x14ac:dyDescent="0.2">
      <c r="A17" s="211">
        <v>6</v>
      </c>
      <c r="B17" s="37"/>
      <c r="C17" s="10"/>
      <c r="D17" s="10" t="s">
        <v>41</v>
      </c>
      <c r="E17" s="19"/>
      <c r="F17" s="159" t="s">
        <v>42</v>
      </c>
      <c r="G17" s="303">
        <v>0</v>
      </c>
      <c r="H17" s="277"/>
      <c r="I17" s="487"/>
      <c r="J17" s="487"/>
      <c r="K17" s="487"/>
      <c r="L17" s="487"/>
      <c r="M17" s="487"/>
      <c r="N17" s="487"/>
      <c r="O17" s="487"/>
      <c r="P17" s="487"/>
      <c r="Q17" s="237"/>
      <c r="R17" s="237"/>
      <c r="S17" s="237"/>
      <c r="T17" s="237"/>
      <c r="U17" s="102"/>
      <c r="V17" s="102"/>
      <c r="W17" s="102"/>
      <c r="X17" s="102"/>
      <c r="Y17" s="102"/>
      <c r="Z17" s="102"/>
      <c r="AA17" s="102"/>
      <c r="AB17" s="102"/>
      <c r="AC17" s="102"/>
      <c r="AD17" s="102"/>
      <c r="AE17" s="102"/>
      <c r="AF17" s="102"/>
      <c r="AG17" s="102"/>
      <c r="AH17" s="102"/>
      <c r="AI17" s="102"/>
      <c r="AJ17" s="102"/>
      <c r="AK17" s="102"/>
    </row>
    <row r="18" spans="1:37" x14ac:dyDescent="0.2">
      <c r="A18" s="213">
        <v>7</v>
      </c>
      <c r="B18" s="43"/>
      <c r="C18" s="44"/>
      <c r="D18" s="44" t="s">
        <v>255</v>
      </c>
      <c r="E18" s="23"/>
      <c r="F18" s="162" t="s">
        <v>218</v>
      </c>
      <c r="G18" s="304">
        <v>0</v>
      </c>
      <c r="H18" s="278"/>
      <c r="I18" s="487"/>
      <c r="J18" s="487"/>
      <c r="K18" s="487"/>
      <c r="L18" s="487"/>
      <c r="M18" s="487"/>
      <c r="N18" s="487"/>
      <c r="O18" s="487"/>
      <c r="P18" s="487"/>
      <c r="Q18" s="237"/>
      <c r="R18" s="237"/>
      <c r="S18" s="237"/>
      <c r="T18" s="237"/>
      <c r="U18" s="102"/>
      <c r="V18" s="102"/>
      <c r="W18" s="102"/>
      <c r="X18" s="102"/>
      <c r="Y18" s="102"/>
      <c r="Z18" s="102"/>
      <c r="AA18" s="102"/>
      <c r="AB18" s="102"/>
      <c r="AC18" s="102"/>
      <c r="AD18" s="102"/>
      <c r="AE18" s="102"/>
      <c r="AF18" s="102"/>
      <c r="AG18" s="102"/>
      <c r="AH18" s="102"/>
      <c r="AI18" s="102"/>
      <c r="AJ18" s="102"/>
      <c r="AK18" s="102"/>
    </row>
    <row r="19" spans="1:37" s="95" customFormat="1" x14ac:dyDescent="0.2">
      <c r="A19" s="215">
        <v>8</v>
      </c>
      <c r="B19" s="92"/>
      <c r="C19" s="83" t="s">
        <v>17</v>
      </c>
      <c r="D19" s="83"/>
      <c r="E19" s="93"/>
      <c r="F19" s="161"/>
      <c r="G19" s="305"/>
      <c r="H19" s="272"/>
      <c r="I19" s="488"/>
      <c r="J19" s="488"/>
      <c r="K19" s="488"/>
      <c r="L19" s="488"/>
      <c r="M19" s="488"/>
      <c r="N19" s="488"/>
      <c r="O19" s="488"/>
      <c r="P19" s="488"/>
      <c r="Q19" s="242"/>
      <c r="R19" s="242"/>
      <c r="S19" s="242"/>
      <c r="T19" s="237"/>
      <c r="U19" s="241"/>
      <c r="V19" s="241"/>
      <c r="W19" s="241"/>
      <c r="X19" s="241"/>
      <c r="Y19" s="241"/>
      <c r="Z19" s="241"/>
      <c r="AA19" s="241"/>
      <c r="AB19" s="241"/>
      <c r="AC19" s="241"/>
      <c r="AD19" s="241"/>
      <c r="AE19" s="241"/>
      <c r="AF19" s="241"/>
      <c r="AG19" s="241"/>
      <c r="AH19" s="241"/>
      <c r="AI19" s="241"/>
      <c r="AJ19" s="241"/>
      <c r="AK19" s="241"/>
    </row>
    <row r="20" spans="1:37" x14ac:dyDescent="0.2">
      <c r="A20" s="213">
        <v>9</v>
      </c>
      <c r="B20" s="43"/>
      <c r="C20" s="44"/>
      <c r="D20" s="44"/>
      <c r="E20" s="23"/>
      <c r="F20" s="162"/>
      <c r="G20" s="304"/>
      <c r="H20" s="278"/>
      <c r="I20" s="487"/>
      <c r="J20" s="487"/>
      <c r="K20" s="487"/>
      <c r="L20" s="487"/>
      <c r="M20" s="487"/>
      <c r="N20" s="487"/>
      <c r="O20" s="487"/>
      <c r="P20" s="487"/>
      <c r="Q20" s="237"/>
      <c r="R20" s="237"/>
      <c r="S20" s="237"/>
      <c r="T20" s="237"/>
      <c r="U20" s="102"/>
      <c r="V20" s="102"/>
      <c r="W20" s="102"/>
      <c r="X20" s="102"/>
      <c r="Y20" s="102"/>
      <c r="Z20" s="102"/>
      <c r="AA20" s="102"/>
      <c r="AB20" s="102"/>
      <c r="AC20" s="102"/>
      <c r="AD20" s="102"/>
      <c r="AE20" s="102"/>
      <c r="AF20" s="102"/>
      <c r="AG20" s="102"/>
      <c r="AH20" s="102"/>
      <c r="AI20" s="102"/>
      <c r="AJ20" s="102"/>
      <c r="AK20" s="102"/>
    </row>
    <row r="21" spans="1:37" x14ac:dyDescent="0.2">
      <c r="A21" s="216">
        <v>10</v>
      </c>
      <c r="B21" s="48" t="s">
        <v>269</v>
      </c>
      <c r="C21" s="7"/>
      <c r="D21" s="49"/>
      <c r="E21" s="50"/>
      <c r="F21" s="163"/>
      <c r="G21" s="306">
        <f>SUM(G11:G20)</f>
        <v>4157156.75</v>
      </c>
      <c r="H21" s="279"/>
      <c r="I21" s="487"/>
      <c r="J21" s="487"/>
      <c r="K21" s="487"/>
      <c r="L21" s="487"/>
      <c r="M21" s="487"/>
      <c r="N21" s="487"/>
      <c r="O21" s="487"/>
      <c r="P21" s="487"/>
      <c r="Q21" s="237"/>
      <c r="R21" s="237"/>
      <c r="S21" s="237"/>
      <c r="T21" s="237"/>
      <c r="U21" s="102"/>
      <c r="V21" s="102"/>
      <c r="W21" s="102"/>
      <c r="X21" s="102"/>
      <c r="Y21" s="102"/>
      <c r="Z21" s="102"/>
      <c r="AA21" s="102"/>
      <c r="AB21" s="102"/>
      <c r="AC21" s="102"/>
      <c r="AD21" s="102"/>
      <c r="AE21" s="102"/>
      <c r="AF21" s="102"/>
      <c r="AG21" s="102"/>
      <c r="AH21" s="102"/>
      <c r="AI21" s="102"/>
      <c r="AJ21" s="102"/>
      <c r="AK21" s="102"/>
    </row>
    <row r="22" spans="1:37" x14ac:dyDescent="0.2">
      <c r="A22" s="30"/>
      <c r="B22" s="36"/>
      <c r="C22" s="13"/>
      <c r="D22" s="13"/>
      <c r="E22" s="72"/>
      <c r="F22" s="157"/>
      <c r="G22" s="301"/>
      <c r="H22" s="275"/>
      <c r="I22" s="487"/>
      <c r="J22" s="487"/>
      <c r="K22" s="487"/>
      <c r="L22" s="487"/>
      <c r="M22" s="487"/>
      <c r="N22" s="487"/>
      <c r="O22" s="487"/>
      <c r="P22" s="487"/>
      <c r="Q22" s="237"/>
      <c r="R22" s="237"/>
      <c r="S22" s="237"/>
      <c r="T22" s="237"/>
      <c r="U22" s="102"/>
      <c r="V22" s="102"/>
      <c r="W22" s="102"/>
      <c r="X22" s="102"/>
      <c r="Y22" s="102"/>
      <c r="Z22" s="102"/>
      <c r="AA22" s="102"/>
      <c r="AB22" s="102"/>
      <c r="AC22" s="102"/>
      <c r="AD22" s="102"/>
      <c r="AE22" s="102"/>
      <c r="AF22" s="102"/>
      <c r="AG22" s="102"/>
      <c r="AH22" s="102"/>
      <c r="AI22" s="102"/>
      <c r="AJ22" s="102"/>
      <c r="AK22" s="102"/>
    </row>
    <row r="23" spans="1:37" x14ac:dyDescent="0.2">
      <c r="A23" s="31"/>
      <c r="B23" s="26" t="s">
        <v>43</v>
      </c>
      <c r="C23" s="12"/>
      <c r="D23" s="12"/>
      <c r="E23" s="62"/>
      <c r="F23" s="158"/>
      <c r="G23" s="302"/>
      <c r="H23" s="276"/>
      <c r="I23" s="487"/>
      <c r="J23" s="487"/>
      <c r="K23" s="487"/>
      <c r="L23" s="487"/>
      <c r="M23" s="487"/>
      <c r="N23" s="487"/>
      <c r="O23" s="487"/>
      <c r="P23" s="487"/>
      <c r="Q23" s="237"/>
      <c r="R23" s="237"/>
      <c r="S23" s="237"/>
      <c r="T23" s="237"/>
      <c r="U23" s="102"/>
      <c r="V23" s="102"/>
      <c r="W23" s="102"/>
      <c r="X23" s="102"/>
      <c r="Y23" s="102"/>
      <c r="Z23" s="102"/>
      <c r="AA23" s="102"/>
      <c r="AB23" s="102"/>
      <c r="AC23" s="102"/>
      <c r="AD23" s="102"/>
      <c r="AE23" s="102"/>
      <c r="AF23" s="102"/>
      <c r="AG23" s="102"/>
      <c r="AH23" s="102"/>
      <c r="AI23" s="102"/>
      <c r="AJ23" s="102"/>
      <c r="AK23" s="102"/>
    </row>
    <row r="24" spans="1:37" x14ac:dyDescent="0.2">
      <c r="A24" s="32"/>
      <c r="B24" s="37"/>
      <c r="C24" s="10" t="s">
        <v>44</v>
      </c>
      <c r="D24" s="10"/>
      <c r="E24" s="62"/>
      <c r="F24" s="158"/>
      <c r="G24" s="302"/>
      <c r="H24" s="276"/>
      <c r="I24" s="487"/>
      <c r="J24" s="487"/>
      <c r="K24" s="487"/>
      <c r="L24" s="487"/>
      <c r="M24" s="487"/>
      <c r="N24" s="487"/>
      <c r="O24" s="487"/>
      <c r="P24" s="487"/>
      <c r="Q24" s="237"/>
      <c r="R24" s="237"/>
      <c r="S24" s="237"/>
      <c r="T24" s="237"/>
      <c r="U24" s="102"/>
      <c r="V24" s="102"/>
      <c r="W24" s="102"/>
      <c r="X24" s="102"/>
      <c r="Y24" s="102"/>
      <c r="Z24" s="102"/>
      <c r="AA24" s="102"/>
      <c r="AB24" s="102"/>
      <c r="AC24" s="102"/>
      <c r="AD24" s="102"/>
      <c r="AE24" s="102"/>
      <c r="AF24" s="102"/>
      <c r="AG24" s="102"/>
      <c r="AH24" s="102"/>
      <c r="AI24" s="102"/>
      <c r="AJ24" s="102"/>
      <c r="AK24" s="102"/>
    </row>
    <row r="25" spans="1:37" x14ac:dyDescent="0.2">
      <c r="A25" s="211">
        <v>11</v>
      </c>
      <c r="B25" s="37"/>
      <c r="C25" s="10"/>
      <c r="D25" s="10" t="s">
        <v>294</v>
      </c>
      <c r="E25" s="19"/>
      <c r="F25" s="159" t="s">
        <v>20</v>
      </c>
      <c r="G25" s="303">
        <f>+SUMPRODUCT('KIPP Assumptions'!D$7:D$14,'KIPP Assumptions'!D$21:D$28)+'KIPP Assumptions'!D$6*SUM('KIPP Assumptions'!D$18,'KIPP Assumptions'!D$20)</f>
        <v>1598306.8403125</v>
      </c>
      <c r="H25" s="277"/>
      <c r="I25" s="487"/>
      <c r="J25" s="487"/>
      <c r="K25" s="487"/>
      <c r="L25" s="487"/>
      <c r="M25" s="487"/>
      <c r="N25" s="487"/>
      <c r="O25" s="487"/>
      <c r="P25" s="487"/>
      <c r="Q25" s="237"/>
      <c r="R25" s="237"/>
      <c r="S25" s="237"/>
      <c r="T25" s="237"/>
      <c r="U25" s="102"/>
      <c r="V25" s="102"/>
      <c r="W25" s="102"/>
      <c r="X25" s="102"/>
      <c r="Y25" s="102"/>
      <c r="Z25" s="102"/>
      <c r="AA25" s="102"/>
      <c r="AB25" s="102"/>
      <c r="AC25" s="102"/>
      <c r="AD25" s="102"/>
      <c r="AE25" s="102"/>
      <c r="AF25" s="102"/>
      <c r="AG25" s="102"/>
      <c r="AH25" s="102"/>
      <c r="AI25" s="102"/>
      <c r="AJ25" s="102"/>
      <c r="AK25" s="102"/>
    </row>
    <row r="26" spans="1:37" x14ac:dyDescent="0.2">
      <c r="A26" s="211">
        <v>12</v>
      </c>
      <c r="B26" s="37"/>
      <c r="C26" s="10"/>
      <c r="D26" s="10" t="s">
        <v>45</v>
      </c>
      <c r="E26" s="19"/>
      <c r="F26" s="159" t="s">
        <v>46</v>
      </c>
      <c r="G26" s="303">
        <f>+'KIPP Assumptions'!D$41</f>
        <v>52020</v>
      </c>
      <c r="H26" s="277"/>
      <c r="I26" s="487"/>
      <c r="J26" s="487"/>
      <c r="K26" s="487"/>
      <c r="L26" s="487"/>
      <c r="M26" s="487"/>
      <c r="N26" s="487"/>
      <c r="O26" s="487"/>
      <c r="P26" s="487"/>
      <c r="Q26" s="237"/>
      <c r="R26" s="237"/>
      <c r="S26" s="237"/>
      <c r="T26" s="237"/>
      <c r="U26" s="102"/>
      <c r="V26" s="102"/>
      <c r="W26" s="102"/>
      <c r="X26" s="102"/>
      <c r="Y26" s="102"/>
      <c r="Z26" s="102"/>
      <c r="AA26" s="102"/>
      <c r="AB26" s="102"/>
      <c r="AC26" s="102"/>
      <c r="AD26" s="102"/>
      <c r="AE26" s="102"/>
      <c r="AF26" s="102"/>
      <c r="AG26" s="102"/>
      <c r="AH26" s="102"/>
      <c r="AI26" s="102"/>
      <c r="AJ26" s="102"/>
      <c r="AK26" s="102"/>
    </row>
    <row r="27" spans="1:37" x14ac:dyDescent="0.2">
      <c r="A27" s="211"/>
      <c r="B27" s="37"/>
      <c r="C27" s="10" t="s">
        <v>47</v>
      </c>
      <c r="D27" s="10"/>
      <c r="E27" s="62"/>
      <c r="F27" s="158"/>
      <c r="G27" s="302"/>
      <c r="H27" s="276"/>
      <c r="I27" s="487"/>
      <c r="J27" s="487"/>
      <c r="K27" s="487"/>
      <c r="L27" s="487"/>
      <c r="M27" s="487"/>
      <c r="N27" s="487"/>
      <c r="O27" s="487"/>
      <c r="P27" s="487"/>
      <c r="Q27" s="237"/>
      <c r="R27" s="237"/>
      <c r="S27" s="237"/>
      <c r="T27" s="237"/>
      <c r="U27" s="102"/>
      <c r="V27" s="102"/>
      <c r="W27" s="102"/>
      <c r="X27" s="102"/>
      <c r="Y27" s="102"/>
      <c r="Z27" s="102"/>
      <c r="AA27" s="102"/>
      <c r="AB27" s="102"/>
      <c r="AC27" s="102"/>
      <c r="AD27" s="102"/>
      <c r="AE27" s="102"/>
      <c r="AF27" s="102"/>
      <c r="AG27" s="102"/>
      <c r="AH27" s="102"/>
      <c r="AI27" s="102"/>
      <c r="AJ27" s="102"/>
      <c r="AK27" s="102"/>
    </row>
    <row r="28" spans="1:37" x14ac:dyDescent="0.2">
      <c r="A28" s="211">
        <v>13</v>
      </c>
      <c r="B28" s="37"/>
      <c r="C28" s="10"/>
      <c r="D28" s="10" t="s">
        <v>48</v>
      </c>
      <c r="E28" s="19"/>
      <c r="F28" s="159" t="s">
        <v>49</v>
      </c>
      <c r="G28" s="303"/>
      <c r="H28" s="277"/>
      <c r="I28" s="487"/>
      <c r="J28" s="487"/>
      <c r="K28" s="487"/>
      <c r="L28" s="487"/>
      <c r="M28" s="487"/>
      <c r="N28" s="487"/>
      <c r="O28" s="487"/>
      <c r="P28" s="487"/>
      <c r="Q28" s="237"/>
      <c r="R28" s="237"/>
      <c r="S28" s="237"/>
      <c r="T28" s="237"/>
      <c r="U28" s="102"/>
      <c r="V28" s="102"/>
      <c r="W28" s="102"/>
      <c r="X28" s="102"/>
      <c r="Y28" s="102"/>
      <c r="Z28" s="102"/>
      <c r="AA28" s="102"/>
      <c r="AB28" s="102"/>
      <c r="AC28" s="102"/>
      <c r="AD28" s="102"/>
      <c r="AE28" s="102"/>
      <c r="AF28" s="102"/>
      <c r="AG28" s="102"/>
      <c r="AH28" s="102"/>
      <c r="AI28" s="102"/>
      <c r="AJ28" s="102"/>
      <c r="AK28" s="102"/>
    </row>
    <row r="29" spans="1:37" x14ac:dyDescent="0.2">
      <c r="A29" s="211">
        <v>14</v>
      </c>
      <c r="B29" s="37"/>
      <c r="C29" s="10"/>
      <c r="D29" s="10" t="s">
        <v>50</v>
      </c>
      <c r="E29" s="19"/>
      <c r="F29" s="159" t="s">
        <v>51</v>
      </c>
      <c r="G29" s="303"/>
      <c r="H29" s="277"/>
      <c r="I29" s="487"/>
      <c r="J29" s="487"/>
      <c r="K29" s="487"/>
      <c r="L29" s="487"/>
      <c r="M29" s="487"/>
      <c r="N29" s="487"/>
      <c r="O29" s="487"/>
      <c r="P29" s="487"/>
      <c r="Q29" s="237"/>
      <c r="R29" s="237"/>
      <c r="S29" s="237"/>
      <c r="T29" s="237"/>
      <c r="U29" s="102"/>
      <c r="V29" s="102"/>
      <c r="W29" s="102"/>
      <c r="X29" s="102"/>
      <c r="Y29" s="102"/>
      <c r="Z29" s="102"/>
      <c r="AA29" s="102"/>
      <c r="AB29" s="102"/>
      <c r="AC29" s="102"/>
      <c r="AD29" s="102"/>
      <c r="AE29" s="102"/>
      <c r="AF29" s="102"/>
      <c r="AG29" s="102"/>
      <c r="AH29" s="102"/>
      <c r="AI29" s="102"/>
      <c r="AJ29" s="102"/>
      <c r="AK29" s="102"/>
    </row>
    <row r="30" spans="1:37" x14ac:dyDescent="0.2">
      <c r="A30" s="213">
        <v>15</v>
      </c>
      <c r="B30" s="43"/>
      <c r="C30" s="44"/>
      <c r="D30" s="44" t="s">
        <v>52</v>
      </c>
      <c r="E30" s="23"/>
      <c r="F30" s="162" t="s">
        <v>53</v>
      </c>
      <c r="G30" s="304">
        <f>+'KIPP Assumptions'!D$39+'KIPP Assumptions'!D$40</f>
        <v>95716.800000000003</v>
      </c>
      <c r="H30" s="278"/>
      <c r="I30" s="487"/>
      <c r="J30" s="487"/>
      <c r="K30" s="487"/>
      <c r="L30" s="487"/>
      <c r="M30" s="487"/>
      <c r="N30" s="487"/>
      <c r="O30" s="487"/>
      <c r="P30" s="487"/>
      <c r="Q30" s="237"/>
      <c r="R30" s="237"/>
      <c r="S30" s="237"/>
      <c r="T30" s="237"/>
      <c r="U30" s="102"/>
      <c r="V30" s="102"/>
      <c r="W30" s="102"/>
      <c r="X30" s="102"/>
      <c r="Y30" s="102"/>
      <c r="Z30" s="102"/>
      <c r="AA30" s="102"/>
      <c r="AB30" s="102"/>
      <c r="AC30" s="102"/>
      <c r="AD30" s="102"/>
      <c r="AE30" s="102"/>
      <c r="AF30" s="102"/>
      <c r="AG30" s="102"/>
      <c r="AH30" s="102"/>
      <c r="AI30" s="102"/>
      <c r="AJ30" s="102"/>
      <c r="AK30" s="102"/>
    </row>
    <row r="31" spans="1:37" s="95" customFormat="1" x14ac:dyDescent="0.2">
      <c r="A31" s="215">
        <v>16</v>
      </c>
      <c r="B31" s="92"/>
      <c r="C31" s="83" t="s">
        <v>17</v>
      </c>
      <c r="D31" s="83"/>
      <c r="E31" s="93"/>
      <c r="F31" s="161"/>
      <c r="G31" s="305"/>
      <c r="H31" s="272"/>
      <c r="I31" s="488"/>
      <c r="J31" s="488"/>
      <c r="K31" s="488"/>
      <c r="L31" s="488"/>
      <c r="M31" s="488"/>
      <c r="N31" s="488"/>
      <c r="O31" s="488"/>
      <c r="P31" s="488"/>
      <c r="Q31" s="242"/>
      <c r="R31" s="242"/>
      <c r="S31" s="242"/>
      <c r="T31" s="237"/>
      <c r="U31" s="241"/>
      <c r="V31" s="241"/>
      <c r="W31" s="241"/>
      <c r="X31" s="241"/>
      <c r="Y31" s="241"/>
      <c r="Z31" s="241"/>
      <c r="AA31" s="241"/>
      <c r="AB31" s="241"/>
      <c r="AC31" s="241"/>
      <c r="AD31" s="241"/>
      <c r="AE31" s="241"/>
      <c r="AF31" s="241"/>
      <c r="AG31" s="241"/>
      <c r="AH31" s="241"/>
      <c r="AI31" s="241"/>
      <c r="AJ31" s="241"/>
      <c r="AK31" s="241"/>
    </row>
    <row r="32" spans="1:37" x14ac:dyDescent="0.2">
      <c r="A32" s="213">
        <v>17</v>
      </c>
      <c r="B32" s="43"/>
      <c r="C32" s="44"/>
      <c r="D32" s="44"/>
      <c r="E32" s="23"/>
      <c r="F32" s="162"/>
      <c r="G32" s="304"/>
      <c r="H32" s="278"/>
      <c r="I32" s="487"/>
      <c r="J32" s="487"/>
      <c r="K32" s="487"/>
      <c r="L32" s="487"/>
      <c r="M32" s="487"/>
      <c r="N32" s="487"/>
      <c r="O32" s="487"/>
      <c r="P32" s="487"/>
      <c r="Q32" s="237"/>
      <c r="R32" s="237"/>
      <c r="S32" s="237"/>
      <c r="T32" s="237"/>
      <c r="U32" s="102"/>
      <c r="V32" s="102"/>
      <c r="W32" s="102"/>
      <c r="X32" s="102"/>
      <c r="Y32" s="102"/>
      <c r="Z32" s="102"/>
      <c r="AA32" s="102"/>
      <c r="AB32" s="102"/>
      <c r="AC32" s="102"/>
      <c r="AD32" s="102"/>
      <c r="AE32" s="102"/>
      <c r="AF32" s="102"/>
      <c r="AG32" s="102"/>
      <c r="AH32" s="102"/>
      <c r="AI32" s="102"/>
      <c r="AJ32" s="102"/>
      <c r="AK32" s="102"/>
    </row>
    <row r="33" spans="1:37" ht="15" thickBot="1" x14ac:dyDescent="0.25">
      <c r="A33" s="247">
        <v>18</v>
      </c>
      <c r="B33" s="248" t="s">
        <v>270</v>
      </c>
      <c r="C33" s="249"/>
      <c r="D33" s="249"/>
      <c r="E33" s="250"/>
      <c r="F33" s="251"/>
      <c r="G33" s="307">
        <f>SUM(G24:G32)</f>
        <v>1746043.6403125001</v>
      </c>
      <c r="H33" s="280"/>
      <c r="I33" s="487"/>
      <c r="J33" s="487"/>
      <c r="K33" s="487"/>
      <c r="L33" s="487"/>
      <c r="M33" s="487"/>
      <c r="N33" s="487"/>
      <c r="O33" s="487"/>
      <c r="P33" s="487"/>
      <c r="Q33" s="237"/>
      <c r="R33" s="237"/>
      <c r="S33" s="237"/>
      <c r="T33" s="237"/>
      <c r="U33" s="102"/>
      <c r="V33" s="102"/>
      <c r="W33" s="102"/>
      <c r="X33" s="102"/>
      <c r="Y33" s="102"/>
      <c r="Z33" s="102"/>
      <c r="AA33" s="102"/>
      <c r="AB33" s="102"/>
      <c r="AC33" s="102"/>
      <c r="AD33" s="102"/>
      <c r="AE33" s="102"/>
      <c r="AF33" s="102"/>
      <c r="AG33" s="102"/>
      <c r="AH33" s="102"/>
      <c r="AI33" s="102"/>
      <c r="AJ33" s="102"/>
      <c r="AK33" s="102"/>
    </row>
    <row r="34" spans="1:37" s="102" customFormat="1" ht="15" thickTop="1" x14ac:dyDescent="0.2">
      <c r="A34" s="101"/>
      <c r="E34" s="103"/>
      <c r="F34" s="103"/>
      <c r="G34" s="264"/>
      <c r="H34" s="281"/>
    </row>
    <row r="35" spans="1:37" s="102" customFormat="1" x14ac:dyDescent="0.2">
      <c r="A35" s="101"/>
      <c r="E35" s="103"/>
      <c r="F35" s="103"/>
      <c r="G35" s="264"/>
      <c r="H35" s="281"/>
    </row>
    <row r="36" spans="1:37" s="102" customFormat="1" x14ac:dyDescent="0.2">
      <c r="A36" s="101"/>
      <c r="E36" s="103"/>
      <c r="F36" s="103"/>
      <c r="G36" s="264"/>
      <c r="H36" s="281"/>
    </row>
    <row r="37" spans="1:37" s="102" customFormat="1" x14ac:dyDescent="0.2">
      <c r="A37" s="101"/>
      <c r="E37" s="103"/>
      <c r="F37" s="103"/>
      <c r="G37" s="264"/>
      <c r="H37" s="281"/>
    </row>
    <row r="38" spans="1:37" s="102" customFormat="1" ht="42" customHeight="1" x14ac:dyDescent="0.2">
      <c r="A38" s="654" t="s">
        <v>10</v>
      </c>
      <c r="B38" s="654"/>
      <c r="C38" s="654"/>
      <c r="D38" s="654"/>
      <c r="E38" s="654"/>
      <c r="F38" s="654"/>
      <c r="G38" s="654"/>
      <c r="H38" s="654"/>
      <c r="I38" s="511"/>
      <c r="J38" s="511"/>
      <c r="K38" s="511"/>
      <c r="L38" s="511"/>
    </row>
    <row r="39" spans="1:37" s="102" customFormat="1" x14ac:dyDescent="0.2">
      <c r="A39" s="101"/>
      <c r="E39" s="103"/>
      <c r="F39" s="103"/>
      <c r="G39" s="264"/>
      <c r="H39" s="281"/>
    </row>
    <row r="40" spans="1:37" s="102" customFormat="1" ht="15" thickBot="1" x14ac:dyDescent="0.25">
      <c r="A40" s="101"/>
      <c r="E40" s="103"/>
      <c r="F40" s="103"/>
      <c r="G40" s="264"/>
      <c r="H40" s="281"/>
    </row>
    <row r="41" spans="1:37" ht="15" thickTop="1" x14ac:dyDescent="0.2">
      <c r="A41" s="252"/>
      <c r="B41" s="253" t="s">
        <v>54</v>
      </c>
      <c r="C41" s="254"/>
      <c r="D41" s="254"/>
      <c r="E41" s="255"/>
      <c r="F41" s="256"/>
      <c r="G41" s="308"/>
      <c r="H41" s="297"/>
      <c r="I41" s="487"/>
      <c r="J41" s="487"/>
      <c r="K41" s="487"/>
      <c r="L41" s="487"/>
      <c r="M41" s="487"/>
      <c r="N41" s="487"/>
      <c r="O41" s="487"/>
      <c r="P41" s="487"/>
      <c r="Q41" s="237"/>
      <c r="R41" s="237"/>
      <c r="S41" s="237"/>
      <c r="T41" s="237"/>
      <c r="U41" s="102"/>
      <c r="V41" s="102"/>
      <c r="W41" s="102"/>
      <c r="X41" s="102"/>
      <c r="Y41" s="102"/>
    </row>
    <row r="42" spans="1:37" x14ac:dyDescent="0.2">
      <c r="A42" s="211"/>
      <c r="B42" s="37"/>
      <c r="C42" s="10" t="s">
        <v>256</v>
      </c>
      <c r="D42" s="10"/>
      <c r="E42" s="62"/>
      <c r="F42" s="158"/>
      <c r="G42" s="302"/>
      <c r="H42" s="267"/>
      <c r="I42" s="487"/>
      <c r="J42" s="487"/>
      <c r="K42" s="487"/>
      <c r="L42" s="487"/>
      <c r="M42" s="487"/>
      <c r="N42" s="487"/>
      <c r="O42" s="487"/>
      <c r="P42" s="487"/>
      <c r="Q42" s="237"/>
      <c r="R42" s="237"/>
      <c r="S42" s="237"/>
      <c r="T42" s="237"/>
      <c r="U42" s="102"/>
      <c r="V42" s="102"/>
      <c r="W42" s="102"/>
      <c r="X42" s="102"/>
      <c r="Y42" s="102"/>
    </row>
    <row r="43" spans="1:37" x14ac:dyDescent="0.2">
      <c r="A43" s="211">
        <v>19</v>
      </c>
      <c r="B43" s="37"/>
      <c r="C43" s="10"/>
      <c r="D43" s="10" t="s">
        <v>55</v>
      </c>
      <c r="E43" s="19"/>
      <c r="F43" s="159" t="s">
        <v>56</v>
      </c>
      <c r="G43" s="303"/>
      <c r="H43" s="268"/>
      <c r="I43" s="487"/>
      <c r="J43" s="487"/>
      <c r="K43" s="487"/>
      <c r="L43" s="487"/>
      <c r="M43" s="487"/>
      <c r="N43" s="487"/>
      <c r="O43" s="487"/>
      <c r="P43" s="487"/>
      <c r="Q43" s="237"/>
      <c r="R43" s="237"/>
      <c r="S43" s="237"/>
      <c r="T43" s="237"/>
      <c r="U43" s="102"/>
      <c r="V43" s="102"/>
      <c r="W43" s="102"/>
      <c r="X43" s="102"/>
      <c r="Y43" s="102"/>
    </row>
    <row r="44" spans="1:37" x14ac:dyDescent="0.2">
      <c r="A44" s="211"/>
      <c r="B44" s="37"/>
      <c r="C44" s="10" t="s">
        <v>257</v>
      </c>
      <c r="D44" s="10"/>
      <c r="E44" s="62"/>
      <c r="F44" s="158"/>
      <c r="G44" s="302"/>
      <c r="H44" s="267"/>
      <c r="I44" s="487"/>
      <c r="J44" s="487"/>
      <c r="K44" s="487"/>
      <c r="L44" s="487"/>
      <c r="M44" s="487"/>
      <c r="N44" s="487"/>
      <c r="O44" s="487"/>
      <c r="P44" s="487"/>
      <c r="Q44" s="237"/>
      <c r="R44" s="237"/>
      <c r="S44" s="237"/>
      <c r="T44" s="237"/>
      <c r="U44" s="102"/>
      <c r="V44" s="102"/>
      <c r="W44" s="102"/>
      <c r="X44" s="102"/>
      <c r="Y44" s="102"/>
    </row>
    <row r="45" spans="1:37" x14ac:dyDescent="0.2">
      <c r="A45" s="211">
        <v>20</v>
      </c>
      <c r="B45" s="37"/>
      <c r="C45" s="10"/>
      <c r="D45" s="10" t="s">
        <v>57</v>
      </c>
      <c r="E45" s="19"/>
      <c r="F45" s="159" t="s">
        <v>58</v>
      </c>
      <c r="G45" s="303"/>
      <c r="H45" s="268"/>
      <c r="I45" s="487"/>
      <c r="J45" s="487"/>
      <c r="K45" s="487"/>
      <c r="L45" s="487"/>
      <c r="M45" s="487"/>
      <c r="N45" s="487"/>
      <c r="O45" s="487"/>
      <c r="P45" s="487"/>
      <c r="Q45" s="237"/>
      <c r="R45" s="237"/>
      <c r="S45" s="237"/>
      <c r="T45" s="237"/>
      <c r="U45" s="102"/>
      <c r="V45" s="102"/>
      <c r="W45" s="102"/>
      <c r="X45" s="102"/>
      <c r="Y45" s="102"/>
    </row>
    <row r="46" spans="1:37" x14ac:dyDescent="0.2">
      <c r="A46" s="211"/>
      <c r="B46" s="37"/>
      <c r="C46" s="10" t="s">
        <v>21</v>
      </c>
      <c r="D46" s="10"/>
      <c r="E46" s="62"/>
      <c r="F46" s="158"/>
      <c r="G46" s="302"/>
      <c r="H46" s="267"/>
      <c r="I46" s="487"/>
      <c r="J46" s="487"/>
      <c r="K46" s="487"/>
      <c r="L46" s="487"/>
      <c r="M46" s="487"/>
      <c r="N46" s="487"/>
      <c r="O46" s="487"/>
      <c r="P46" s="487"/>
      <c r="Q46" s="237"/>
      <c r="R46" s="237"/>
      <c r="S46" s="237"/>
      <c r="T46" s="237"/>
      <c r="U46" s="102"/>
      <c r="V46" s="102"/>
      <c r="W46" s="102"/>
      <c r="X46" s="102"/>
      <c r="Y46" s="102"/>
    </row>
    <row r="47" spans="1:37" x14ac:dyDescent="0.2">
      <c r="A47" s="211">
        <v>21</v>
      </c>
      <c r="B47" s="37"/>
      <c r="C47" s="10"/>
      <c r="D47" s="10" t="s">
        <v>59</v>
      </c>
      <c r="E47" s="19"/>
      <c r="F47" s="159" t="s">
        <v>60</v>
      </c>
      <c r="G47" s="303">
        <f>+SUM('KIPP Assumptions'!D$57:D$60)</f>
        <v>313600</v>
      </c>
      <c r="H47" s="268"/>
      <c r="I47" s="487"/>
      <c r="J47" s="487"/>
      <c r="K47" s="487"/>
      <c r="L47" s="487"/>
      <c r="M47" s="487"/>
      <c r="N47" s="487"/>
      <c r="O47" s="487"/>
      <c r="P47" s="487"/>
      <c r="Q47" s="237"/>
      <c r="R47" s="237"/>
      <c r="S47" s="237"/>
      <c r="T47" s="237"/>
      <c r="U47" s="102"/>
      <c r="V47" s="102"/>
      <c r="W47" s="102"/>
      <c r="X47" s="102"/>
      <c r="Y47" s="102"/>
    </row>
    <row r="48" spans="1:37" x14ac:dyDescent="0.2">
      <c r="A48" s="211"/>
      <c r="B48" s="37"/>
      <c r="C48" s="10"/>
      <c r="D48" s="10" t="s">
        <v>61</v>
      </c>
      <c r="E48" s="62"/>
      <c r="F48" s="158"/>
      <c r="G48" s="302"/>
      <c r="H48" s="267"/>
      <c r="I48" s="487"/>
      <c r="J48" s="487"/>
      <c r="K48" s="487"/>
      <c r="L48" s="487"/>
      <c r="M48" s="487"/>
      <c r="N48" s="487"/>
      <c r="O48" s="487"/>
      <c r="P48" s="487"/>
      <c r="Q48" s="237"/>
      <c r="R48" s="237"/>
      <c r="S48" s="237"/>
      <c r="T48" s="237"/>
      <c r="U48" s="102"/>
      <c r="V48" s="102"/>
      <c r="W48" s="102"/>
      <c r="X48" s="102"/>
      <c r="Y48" s="102"/>
    </row>
    <row r="49" spans="1:25" x14ac:dyDescent="0.2">
      <c r="A49" s="211">
        <v>22</v>
      </c>
      <c r="B49" s="37"/>
      <c r="C49" s="10"/>
      <c r="D49" s="10" t="s">
        <v>258</v>
      </c>
      <c r="E49" s="19"/>
      <c r="F49" s="159" t="s">
        <v>62</v>
      </c>
      <c r="G49" s="303">
        <f>+'KIPP Assumptions'!D$35</f>
        <v>124848</v>
      </c>
      <c r="H49" s="268"/>
      <c r="I49" s="487"/>
      <c r="J49" s="487"/>
      <c r="K49" s="487"/>
      <c r="L49" s="487"/>
      <c r="M49" s="487"/>
      <c r="N49" s="487"/>
      <c r="O49" s="487"/>
      <c r="P49" s="487"/>
      <c r="Q49" s="237"/>
      <c r="R49" s="237"/>
      <c r="S49" s="237"/>
      <c r="T49" s="237"/>
      <c r="U49" s="102"/>
      <c r="V49" s="102"/>
      <c r="W49" s="102"/>
      <c r="X49" s="102"/>
      <c r="Y49" s="102"/>
    </row>
    <row r="50" spans="1:25" x14ac:dyDescent="0.2">
      <c r="A50" s="211">
        <v>23</v>
      </c>
      <c r="B50" s="37"/>
      <c r="C50" s="10"/>
      <c r="D50" s="10" t="s">
        <v>259</v>
      </c>
      <c r="E50" s="19"/>
      <c r="F50" s="159" t="s">
        <v>63</v>
      </c>
      <c r="G50" s="303">
        <f>+'KIPP Assumptions'!D$36</f>
        <v>0</v>
      </c>
      <c r="H50" s="268"/>
      <c r="I50" s="487"/>
      <c r="J50" s="487"/>
      <c r="K50" s="487"/>
      <c r="L50" s="487"/>
      <c r="M50" s="487"/>
      <c r="N50" s="487"/>
      <c r="O50" s="487"/>
      <c r="P50" s="487"/>
      <c r="Q50" s="237"/>
      <c r="R50" s="237"/>
      <c r="S50" s="237"/>
      <c r="T50" s="237"/>
      <c r="U50" s="102"/>
      <c r="V50" s="102"/>
      <c r="W50" s="102"/>
      <c r="X50" s="102"/>
      <c r="Y50" s="102"/>
    </row>
    <row r="51" spans="1:25" x14ac:dyDescent="0.2">
      <c r="A51" s="211">
        <v>24</v>
      </c>
      <c r="B51" s="37"/>
      <c r="C51" s="10"/>
      <c r="D51" s="10" t="s">
        <v>260</v>
      </c>
      <c r="E51" s="19"/>
      <c r="F51" s="159" t="s">
        <v>64</v>
      </c>
      <c r="G51" s="303"/>
      <c r="H51" s="268"/>
      <c r="I51" s="487"/>
      <c r="J51" s="487"/>
      <c r="K51" s="487"/>
      <c r="L51" s="487"/>
      <c r="M51" s="487"/>
      <c r="N51" s="487"/>
      <c r="O51" s="487"/>
      <c r="P51" s="487"/>
      <c r="Q51" s="237"/>
      <c r="R51" s="237"/>
      <c r="S51" s="237"/>
      <c r="T51" s="237"/>
      <c r="U51" s="102"/>
      <c r="V51" s="102"/>
      <c r="W51" s="102"/>
      <c r="X51" s="102"/>
      <c r="Y51" s="102"/>
    </row>
    <row r="52" spans="1:25" x14ac:dyDescent="0.2">
      <c r="A52" s="211"/>
      <c r="B52" s="37"/>
      <c r="C52" s="10"/>
      <c r="D52" s="10" t="s">
        <v>278</v>
      </c>
      <c r="E52" s="62"/>
      <c r="F52" s="158"/>
      <c r="G52" s="302"/>
      <c r="H52" s="267"/>
      <c r="I52" s="487"/>
      <c r="J52" s="487"/>
      <c r="K52" s="487"/>
      <c r="L52" s="487"/>
      <c r="M52" s="487"/>
      <c r="N52" s="487"/>
      <c r="O52" s="487"/>
      <c r="P52" s="487"/>
      <c r="Q52" s="237"/>
      <c r="R52" s="237"/>
      <c r="S52" s="237"/>
      <c r="T52" s="237"/>
      <c r="U52" s="102"/>
      <c r="V52" s="102"/>
      <c r="W52" s="102"/>
      <c r="X52" s="102"/>
      <c r="Y52" s="102"/>
    </row>
    <row r="53" spans="1:25" x14ac:dyDescent="0.2">
      <c r="A53" s="211">
        <v>25</v>
      </c>
      <c r="B53" s="37"/>
      <c r="C53" s="10"/>
      <c r="D53" s="10" t="s">
        <v>261</v>
      </c>
      <c r="E53" s="19"/>
      <c r="F53" s="159" t="s">
        <v>65</v>
      </c>
      <c r="G53" s="303">
        <f>+'KIPP Assumptions'!D$31</f>
        <v>346185</v>
      </c>
      <c r="H53" s="268"/>
      <c r="I53" s="487"/>
      <c r="J53" s="487"/>
      <c r="K53" s="487"/>
      <c r="L53" s="487"/>
      <c r="M53" s="487"/>
      <c r="N53" s="487"/>
      <c r="O53" s="487"/>
      <c r="P53" s="487"/>
      <c r="Q53" s="237"/>
      <c r="R53" s="237"/>
      <c r="S53" s="237"/>
      <c r="T53" s="237"/>
      <c r="U53" s="102"/>
      <c r="V53" s="102"/>
      <c r="W53" s="102"/>
      <c r="X53" s="102"/>
      <c r="Y53" s="102"/>
    </row>
    <row r="54" spans="1:25" x14ac:dyDescent="0.2">
      <c r="A54" s="211">
        <v>26</v>
      </c>
      <c r="B54" s="37"/>
      <c r="C54" s="10"/>
      <c r="D54" s="10" t="s">
        <v>262</v>
      </c>
      <c r="E54" s="19"/>
      <c r="F54" s="159" t="s">
        <v>66</v>
      </c>
      <c r="G54" s="303"/>
      <c r="H54" s="268"/>
      <c r="I54" s="487"/>
      <c r="J54" s="487"/>
      <c r="K54" s="487"/>
      <c r="L54" s="487"/>
      <c r="M54" s="487"/>
      <c r="N54" s="487"/>
      <c r="O54" s="487"/>
      <c r="P54" s="487"/>
      <c r="Q54" s="237"/>
      <c r="R54" s="237"/>
      <c r="S54" s="237"/>
      <c r="T54" s="237"/>
      <c r="U54" s="102"/>
      <c r="V54" s="102"/>
      <c r="W54" s="102"/>
      <c r="X54" s="102"/>
      <c r="Y54" s="102"/>
    </row>
    <row r="55" spans="1:25" x14ac:dyDescent="0.2">
      <c r="A55" s="211">
        <v>27</v>
      </c>
      <c r="B55" s="37"/>
      <c r="C55" s="10"/>
      <c r="D55" s="10" t="s">
        <v>279</v>
      </c>
      <c r="E55" s="19"/>
      <c r="F55" s="159" t="s">
        <v>67</v>
      </c>
      <c r="G55" s="303"/>
      <c r="H55" s="268"/>
      <c r="I55" s="487"/>
      <c r="J55" s="487"/>
      <c r="K55" s="487"/>
      <c r="L55" s="487"/>
      <c r="M55" s="487"/>
      <c r="N55" s="487"/>
      <c r="O55" s="487"/>
      <c r="P55" s="487"/>
      <c r="Q55" s="237"/>
      <c r="R55" s="237"/>
      <c r="S55" s="237"/>
      <c r="T55" s="237"/>
      <c r="U55" s="102"/>
      <c r="V55" s="102"/>
      <c r="W55" s="102"/>
      <c r="X55" s="102"/>
      <c r="Y55" s="102"/>
    </row>
    <row r="56" spans="1:25" x14ac:dyDescent="0.2">
      <c r="A56" s="211">
        <v>28</v>
      </c>
      <c r="B56" s="37"/>
      <c r="C56" s="10"/>
      <c r="D56" s="10" t="s">
        <v>263</v>
      </c>
      <c r="E56" s="19"/>
      <c r="F56" s="159" t="s">
        <v>68</v>
      </c>
      <c r="G56" s="303">
        <f>+'KIPP Assumptions'!D$34</f>
        <v>10000</v>
      </c>
      <c r="H56" s="268"/>
      <c r="I56" s="487"/>
      <c r="J56" s="487"/>
      <c r="K56" s="487"/>
      <c r="L56" s="487"/>
      <c r="M56" s="487"/>
      <c r="N56" s="487"/>
      <c r="O56" s="487"/>
      <c r="P56" s="487"/>
      <c r="Q56" s="237"/>
      <c r="R56" s="237"/>
      <c r="S56" s="237"/>
      <c r="T56" s="237"/>
      <c r="U56" s="102"/>
      <c r="V56" s="102"/>
      <c r="W56" s="102"/>
      <c r="X56" s="102"/>
      <c r="Y56" s="102"/>
    </row>
    <row r="57" spans="1:25" x14ac:dyDescent="0.2">
      <c r="A57" s="211">
        <v>29</v>
      </c>
      <c r="B57" s="37"/>
      <c r="C57" s="10"/>
      <c r="D57" s="10" t="s">
        <v>280</v>
      </c>
      <c r="E57" s="19"/>
      <c r="F57" s="159" t="s">
        <v>69</v>
      </c>
      <c r="G57" s="303">
        <f>+'KIPP Assumptions'!D$32</f>
        <v>34853.4</v>
      </c>
      <c r="H57" s="268"/>
      <c r="I57" s="487"/>
      <c r="J57" s="487"/>
      <c r="K57" s="487"/>
      <c r="L57" s="487"/>
      <c r="M57" s="487"/>
      <c r="N57" s="487"/>
      <c r="O57" s="487"/>
      <c r="P57" s="487"/>
      <c r="Q57" s="237"/>
      <c r="R57" s="237"/>
      <c r="S57" s="237"/>
      <c r="T57" s="237"/>
      <c r="U57" s="102"/>
      <c r="V57" s="102"/>
      <c r="W57" s="102"/>
      <c r="X57" s="102"/>
      <c r="Y57" s="102"/>
    </row>
    <row r="58" spans="1:25" x14ac:dyDescent="0.2">
      <c r="A58" s="211">
        <v>30</v>
      </c>
      <c r="B58" s="37"/>
      <c r="C58" s="10"/>
      <c r="D58" s="10" t="s">
        <v>264</v>
      </c>
      <c r="E58" s="19"/>
      <c r="F58" s="159" t="s">
        <v>70</v>
      </c>
      <c r="G58" s="303">
        <f>+'KIPP Assumptions'!D$33</f>
        <v>1500</v>
      </c>
      <c r="H58" s="268"/>
      <c r="I58" s="487"/>
      <c r="J58" s="487"/>
      <c r="K58" s="487"/>
      <c r="L58" s="487"/>
      <c r="M58" s="487"/>
      <c r="N58" s="487"/>
      <c r="O58" s="487"/>
      <c r="P58" s="487"/>
      <c r="Q58" s="237"/>
      <c r="R58" s="237"/>
      <c r="S58" s="237"/>
      <c r="T58" s="237"/>
      <c r="U58" s="102"/>
      <c r="V58" s="102"/>
      <c r="W58" s="102"/>
      <c r="X58" s="102"/>
      <c r="Y58" s="102"/>
    </row>
    <row r="59" spans="1:25" x14ac:dyDescent="0.2">
      <c r="A59" s="211">
        <v>31</v>
      </c>
      <c r="B59" s="37"/>
      <c r="C59" s="10"/>
      <c r="D59" s="10" t="s">
        <v>71</v>
      </c>
      <c r="E59" s="19"/>
      <c r="F59" s="159" t="s">
        <v>72</v>
      </c>
      <c r="G59" s="303"/>
      <c r="H59" s="268"/>
      <c r="I59" s="487"/>
      <c r="J59" s="487"/>
      <c r="K59" s="487"/>
      <c r="L59" s="487"/>
      <c r="M59" s="487"/>
      <c r="N59" s="487"/>
      <c r="O59" s="487"/>
      <c r="P59" s="487"/>
      <c r="Q59" s="237"/>
      <c r="R59" s="237"/>
      <c r="S59" s="237"/>
      <c r="T59" s="237"/>
      <c r="U59" s="102"/>
      <c r="V59" s="102"/>
      <c r="W59" s="102"/>
      <c r="X59" s="102"/>
      <c r="Y59" s="102"/>
    </row>
    <row r="60" spans="1:25" x14ac:dyDescent="0.2">
      <c r="A60" s="211"/>
      <c r="B60" s="37"/>
      <c r="C60" s="10" t="s">
        <v>73</v>
      </c>
      <c r="D60" s="10"/>
      <c r="E60" s="74"/>
      <c r="F60" s="160"/>
      <c r="G60" s="309"/>
      <c r="H60" s="298"/>
      <c r="I60" s="487"/>
      <c r="J60" s="487"/>
      <c r="K60" s="487"/>
      <c r="L60" s="487"/>
      <c r="M60" s="487"/>
      <c r="N60" s="487"/>
      <c r="O60" s="487"/>
      <c r="P60" s="487"/>
      <c r="Q60" s="237"/>
      <c r="R60" s="237"/>
      <c r="S60" s="237"/>
      <c r="T60" s="237"/>
      <c r="U60" s="102"/>
      <c r="V60" s="102"/>
      <c r="W60" s="102"/>
      <c r="X60" s="102"/>
      <c r="Y60" s="102"/>
    </row>
    <row r="61" spans="1:25" x14ac:dyDescent="0.2">
      <c r="A61" s="211">
        <v>32</v>
      </c>
      <c r="B61" s="37"/>
      <c r="C61" s="10"/>
      <c r="D61" s="10" t="s">
        <v>74</v>
      </c>
      <c r="E61" s="19"/>
      <c r="F61" s="159" t="s">
        <v>75</v>
      </c>
      <c r="G61" s="303">
        <f>+'KIPP Assumptions'!D$61</f>
        <v>25000</v>
      </c>
      <c r="H61" s="268"/>
      <c r="I61" s="487"/>
      <c r="J61" s="487"/>
      <c r="K61" s="487"/>
      <c r="L61" s="487"/>
      <c r="M61" s="487"/>
      <c r="N61" s="487"/>
      <c r="O61" s="487"/>
      <c r="P61" s="487"/>
      <c r="Q61" s="237"/>
      <c r="R61" s="237"/>
      <c r="S61" s="237"/>
      <c r="T61" s="237"/>
      <c r="U61" s="102"/>
      <c r="V61" s="102"/>
      <c r="W61" s="102"/>
      <c r="X61" s="102"/>
      <c r="Y61" s="102"/>
    </row>
    <row r="62" spans="1:25" s="95" customFormat="1" ht="14.25" customHeight="1" x14ac:dyDescent="0.2">
      <c r="A62" s="215">
        <v>33</v>
      </c>
      <c r="B62" s="92"/>
      <c r="C62" s="83" t="s">
        <v>17</v>
      </c>
      <c r="D62" s="83"/>
      <c r="E62" s="93"/>
      <c r="F62" s="161"/>
      <c r="G62" s="305"/>
      <c r="H62" s="270"/>
      <c r="I62" s="488"/>
      <c r="J62" s="488"/>
      <c r="K62" s="488"/>
      <c r="L62" s="488"/>
      <c r="M62" s="488"/>
      <c r="N62" s="488"/>
      <c r="O62" s="488"/>
      <c r="P62" s="488"/>
      <c r="Q62" s="242"/>
      <c r="R62" s="242"/>
      <c r="S62" s="242"/>
      <c r="T62" s="237"/>
      <c r="U62" s="241"/>
      <c r="V62" s="241"/>
      <c r="W62" s="241"/>
      <c r="X62" s="241"/>
      <c r="Y62" s="241"/>
    </row>
    <row r="63" spans="1:25" s="95" customFormat="1" ht="14.25" customHeight="1" x14ac:dyDescent="0.2">
      <c r="A63" s="215">
        <v>34</v>
      </c>
      <c r="B63" s="92"/>
      <c r="C63" s="83"/>
      <c r="D63" s="10"/>
      <c r="E63" s="93"/>
      <c r="F63" s="159" t="s">
        <v>464</v>
      </c>
      <c r="G63" s="321">
        <v>0</v>
      </c>
      <c r="H63" s="270"/>
      <c r="I63" s="488"/>
      <c r="J63" s="488"/>
      <c r="K63" s="488"/>
      <c r="L63" s="488"/>
      <c r="M63" s="488"/>
      <c r="N63" s="488"/>
      <c r="O63" s="488"/>
      <c r="P63" s="488"/>
      <c r="Q63" s="242"/>
      <c r="R63" s="242"/>
      <c r="S63" s="242"/>
      <c r="T63" s="237"/>
      <c r="U63" s="241"/>
      <c r="V63" s="241"/>
      <c r="W63" s="241"/>
      <c r="X63" s="241"/>
      <c r="Y63" s="241"/>
    </row>
    <row r="64" spans="1:25" x14ac:dyDescent="0.2">
      <c r="A64" s="213">
        <v>35</v>
      </c>
      <c r="B64" s="43"/>
      <c r="C64" s="44"/>
      <c r="D64" s="44"/>
      <c r="E64" s="23"/>
      <c r="F64" s="162"/>
      <c r="G64" s="304"/>
      <c r="H64" s="269"/>
      <c r="I64" s="487"/>
      <c r="J64" s="487"/>
      <c r="K64" s="487"/>
      <c r="L64" s="487"/>
      <c r="M64" s="487"/>
      <c r="N64" s="487"/>
      <c r="O64" s="487"/>
      <c r="P64" s="487"/>
      <c r="Q64" s="237"/>
      <c r="R64" s="237"/>
      <c r="S64" s="237"/>
      <c r="T64" s="237"/>
      <c r="U64" s="102"/>
      <c r="V64" s="102"/>
      <c r="W64" s="102"/>
      <c r="X64" s="102"/>
      <c r="Y64" s="102"/>
    </row>
    <row r="65" spans="1:25" x14ac:dyDescent="0.2">
      <c r="A65" s="216">
        <v>36</v>
      </c>
      <c r="B65" s="48" t="s">
        <v>268</v>
      </c>
      <c r="C65" s="7"/>
      <c r="D65" s="7"/>
      <c r="E65" s="50"/>
      <c r="F65" s="163"/>
      <c r="G65" s="306">
        <f>SUM(G42:G64)</f>
        <v>855986.4</v>
      </c>
      <c r="H65" s="271"/>
      <c r="I65" s="487"/>
      <c r="J65" s="487"/>
      <c r="K65" s="487"/>
      <c r="L65" s="487"/>
      <c r="M65" s="487"/>
      <c r="N65" s="487"/>
      <c r="O65" s="487"/>
      <c r="P65" s="487"/>
      <c r="Q65" s="237"/>
      <c r="R65" s="237"/>
      <c r="S65" s="237"/>
      <c r="T65" s="237"/>
      <c r="U65" s="102"/>
      <c r="V65" s="102"/>
      <c r="W65" s="102"/>
      <c r="X65" s="102"/>
      <c r="Y65" s="102"/>
    </row>
    <row r="66" spans="1:25" x14ac:dyDescent="0.2">
      <c r="A66" s="211"/>
      <c r="B66" s="37"/>
      <c r="C66" s="10"/>
      <c r="D66" s="10"/>
      <c r="E66" s="62"/>
      <c r="F66" s="158"/>
      <c r="G66" s="302"/>
      <c r="H66" s="267"/>
      <c r="I66" s="487"/>
      <c r="J66" s="487"/>
      <c r="K66" s="487"/>
      <c r="L66" s="487"/>
      <c r="M66" s="487"/>
      <c r="N66" s="487"/>
      <c r="O66" s="487"/>
      <c r="P66" s="487"/>
      <c r="Q66" s="237"/>
      <c r="R66" s="237"/>
      <c r="S66" s="237"/>
      <c r="T66" s="237"/>
      <c r="U66" s="102"/>
      <c r="V66" s="102"/>
      <c r="W66" s="102"/>
      <c r="X66" s="102"/>
      <c r="Y66" s="102"/>
    </row>
    <row r="67" spans="1:25" s="14" customFormat="1" x14ac:dyDescent="0.2">
      <c r="A67" s="218"/>
      <c r="B67" s="26" t="s">
        <v>284</v>
      </c>
      <c r="C67" s="12"/>
      <c r="D67" s="12"/>
      <c r="E67" s="62"/>
      <c r="F67" s="158"/>
      <c r="G67" s="302"/>
      <c r="H67" s="267"/>
      <c r="I67" s="487"/>
      <c r="J67" s="487"/>
      <c r="K67" s="487"/>
      <c r="L67" s="487"/>
      <c r="M67" s="487"/>
      <c r="N67" s="487"/>
      <c r="O67" s="487"/>
      <c r="P67" s="487"/>
      <c r="Q67" s="237"/>
      <c r="R67" s="237"/>
      <c r="S67" s="237"/>
      <c r="T67" s="237"/>
      <c r="U67" s="102"/>
      <c r="V67" s="102"/>
      <c r="W67" s="102"/>
      <c r="X67" s="102"/>
      <c r="Y67" s="102"/>
    </row>
    <row r="68" spans="1:25" s="100" customFormat="1" x14ac:dyDescent="0.2">
      <c r="A68" s="219">
        <v>37</v>
      </c>
      <c r="B68" s="96"/>
      <c r="C68" s="97"/>
      <c r="D68" s="97"/>
      <c r="E68" s="98"/>
      <c r="F68" s="164" t="s">
        <v>252</v>
      </c>
      <c r="G68" s="310"/>
      <c r="H68" s="291"/>
      <c r="I68" s="487"/>
      <c r="J68" s="487"/>
      <c r="K68" s="487"/>
      <c r="L68" s="487"/>
      <c r="M68" s="487"/>
      <c r="N68" s="487"/>
      <c r="O68" s="487"/>
      <c r="P68" s="487"/>
      <c r="Q68" s="237"/>
      <c r="R68" s="237"/>
      <c r="S68" s="237"/>
      <c r="T68" s="237"/>
      <c r="U68" s="102"/>
      <c r="V68" s="102"/>
      <c r="W68" s="102"/>
      <c r="X68" s="102"/>
      <c r="Y68" s="102"/>
    </row>
    <row r="69" spans="1:25" ht="15" thickBot="1" x14ac:dyDescent="0.25">
      <c r="A69" s="213">
        <v>38</v>
      </c>
      <c r="B69" s="43"/>
      <c r="C69" s="44"/>
      <c r="D69" s="44"/>
      <c r="E69" s="134"/>
      <c r="F69" s="165"/>
      <c r="G69" s="311"/>
      <c r="H69" s="299"/>
      <c r="I69" s="487"/>
      <c r="J69" s="487"/>
      <c r="K69" s="487"/>
      <c r="L69" s="487"/>
      <c r="M69" s="487"/>
      <c r="N69" s="487"/>
      <c r="O69" s="487"/>
      <c r="P69" s="487"/>
      <c r="Q69" s="237"/>
      <c r="R69" s="237"/>
      <c r="S69" s="237"/>
      <c r="T69" s="237"/>
      <c r="U69" s="102"/>
      <c r="V69" s="102"/>
      <c r="W69" s="102"/>
      <c r="X69" s="102"/>
      <c r="Y69" s="102"/>
    </row>
    <row r="70" spans="1:25" ht="15" thickBot="1" x14ac:dyDescent="0.25">
      <c r="A70" s="220">
        <v>39</v>
      </c>
      <c r="B70" s="45" t="s">
        <v>271</v>
      </c>
      <c r="C70" s="8"/>
      <c r="D70" s="8"/>
      <c r="E70" s="46"/>
      <c r="F70" s="166"/>
      <c r="G70" s="312">
        <f>+G21+G33+G65+G68+G69</f>
        <v>6759186.7903125007</v>
      </c>
      <c r="H70" s="287"/>
      <c r="I70" s="487"/>
      <c r="J70" s="487"/>
      <c r="K70" s="487"/>
      <c r="L70" s="487"/>
      <c r="M70" s="487"/>
      <c r="N70" s="487"/>
      <c r="O70" s="487"/>
      <c r="P70" s="487"/>
      <c r="Q70" s="237"/>
      <c r="R70" s="237"/>
      <c r="S70" s="237"/>
      <c r="T70" s="237"/>
      <c r="U70" s="102"/>
      <c r="V70" s="102"/>
      <c r="W70" s="102"/>
      <c r="X70" s="102"/>
      <c r="Y70" s="102"/>
    </row>
    <row r="71" spans="1:25" s="14" customFormat="1" x14ac:dyDescent="0.2">
      <c r="A71" s="238"/>
      <c r="D71" s="178"/>
      <c r="E71" s="179"/>
      <c r="F71" s="179"/>
      <c r="G71" s="313"/>
      <c r="H71" s="179"/>
      <c r="I71" s="102"/>
      <c r="J71" s="102"/>
      <c r="K71" s="102"/>
      <c r="L71" s="102"/>
      <c r="M71" s="102"/>
      <c r="N71" s="102"/>
      <c r="O71" s="102"/>
      <c r="P71" s="102"/>
      <c r="Q71" s="243"/>
      <c r="R71" s="243"/>
      <c r="S71" s="243"/>
      <c r="T71" s="243"/>
      <c r="U71" s="102"/>
      <c r="V71" s="102"/>
      <c r="W71" s="102"/>
      <c r="X71" s="102"/>
      <c r="Y71" s="102"/>
    </row>
    <row r="72" spans="1:25" s="14" customFormat="1" x14ac:dyDescent="0.2">
      <c r="A72" s="238"/>
      <c r="E72" s="180"/>
      <c r="F72" s="180"/>
      <c r="G72" s="314"/>
      <c r="H72" s="180"/>
      <c r="I72" s="102"/>
      <c r="J72" s="102"/>
      <c r="K72" s="102"/>
      <c r="L72" s="102"/>
      <c r="M72" s="102"/>
      <c r="N72" s="102"/>
      <c r="O72" s="102"/>
      <c r="P72" s="102"/>
      <c r="Q72" s="243"/>
      <c r="R72" s="243"/>
      <c r="S72" s="243"/>
      <c r="T72" s="243"/>
      <c r="U72" s="102"/>
      <c r="V72" s="102"/>
      <c r="W72" s="102"/>
      <c r="X72" s="102"/>
      <c r="Y72" s="102"/>
    </row>
    <row r="73" spans="1:25" s="14" customFormat="1" x14ac:dyDescent="0.2">
      <c r="A73" s="238"/>
      <c r="E73" s="180"/>
      <c r="F73" s="180"/>
      <c r="G73" s="314"/>
      <c r="H73" s="180"/>
      <c r="I73" s="102"/>
      <c r="J73" s="102"/>
      <c r="K73" s="102"/>
      <c r="M73" s="102"/>
      <c r="N73" s="102"/>
      <c r="O73" s="102"/>
      <c r="P73" s="102"/>
      <c r="Q73" s="243"/>
      <c r="R73" s="243"/>
      <c r="S73" s="243"/>
      <c r="T73" s="243"/>
      <c r="U73" s="102"/>
      <c r="V73" s="102"/>
      <c r="W73" s="102"/>
      <c r="X73" s="102"/>
      <c r="Y73" s="102"/>
    </row>
    <row r="74" spans="1:25" s="14" customFormat="1" ht="20.25" customHeight="1" x14ac:dyDescent="0.25">
      <c r="A74" s="222"/>
      <c r="B74" s="21" t="s">
        <v>273</v>
      </c>
      <c r="E74" s="15"/>
      <c r="F74" s="167"/>
      <c r="G74" s="315"/>
      <c r="H74" s="283"/>
      <c r="I74" s="487"/>
      <c r="J74" s="489"/>
      <c r="K74" s="489"/>
      <c r="L74" s="498"/>
      <c r="M74" s="102"/>
      <c r="N74" s="102"/>
      <c r="O74" s="487"/>
      <c r="P74" s="487"/>
      <c r="Q74" s="237"/>
      <c r="R74" s="237"/>
      <c r="S74" s="237"/>
      <c r="T74" s="237"/>
      <c r="U74" s="102"/>
      <c r="V74" s="102"/>
      <c r="W74" s="102"/>
      <c r="X74" s="102"/>
      <c r="Y74" s="102"/>
    </row>
    <row r="75" spans="1:25" x14ac:dyDescent="0.2">
      <c r="A75" s="222"/>
      <c r="D75" s="14"/>
      <c r="E75" s="15" t="s">
        <v>33</v>
      </c>
      <c r="F75" s="167"/>
      <c r="G75" s="315"/>
      <c r="H75" s="283"/>
      <c r="I75" s="487"/>
      <c r="J75" s="487"/>
      <c r="K75" s="487"/>
      <c r="L75" s="499"/>
      <c r="M75" s="102"/>
      <c r="N75" s="102"/>
      <c r="O75" s="487"/>
      <c r="P75" s="487"/>
      <c r="Q75" s="237"/>
      <c r="R75" s="237"/>
      <c r="S75" s="237"/>
      <c r="T75" s="237"/>
      <c r="U75" s="102"/>
      <c r="V75" s="102"/>
      <c r="W75" s="102"/>
      <c r="X75" s="102"/>
      <c r="Y75" s="102"/>
    </row>
    <row r="76" spans="1:25" s="5" customFormat="1" ht="15" x14ac:dyDescent="0.25">
      <c r="A76" s="223"/>
      <c r="B76" s="55" t="s">
        <v>16</v>
      </c>
      <c r="C76" s="56"/>
      <c r="D76" s="56"/>
      <c r="E76" s="64" t="s">
        <v>33</v>
      </c>
      <c r="F76" s="168"/>
      <c r="G76" s="316"/>
      <c r="H76" s="284"/>
      <c r="I76" s="489"/>
      <c r="J76" s="489"/>
      <c r="K76" s="489"/>
      <c r="L76" s="487"/>
      <c r="M76" s="618"/>
      <c r="N76" s="499"/>
      <c r="O76" s="489"/>
      <c r="P76" s="489"/>
      <c r="Q76" s="244"/>
      <c r="R76" s="244"/>
      <c r="S76" s="244"/>
      <c r="T76" s="244"/>
      <c r="U76" s="240"/>
      <c r="V76" s="240"/>
      <c r="W76" s="240"/>
      <c r="X76" s="240"/>
      <c r="Y76" s="240"/>
    </row>
    <row r="77" spans="1:25" s="5" customFormat="1" ht="15" x14ac:dyDescent="0.25">
      <c r="A77" s="224"/>
      <c r="B77" s="90" t="s">
        <v>274</v>
      </c>
      <c r="C77" s="57"/>
      <c r="D77" s="57"/>
      <c r="E77" s="66"/>
      <c r="F77" s="169"/>
      <c r="G77" s="317"/>
      <c r="H77" s="285"/>
      <c r="I77" s="489"/>
      <c r="J77" s="489"/>
      <c r="K77" s="489"/>
      <c r="L77" s="498"/>
      <c r="M77" s="515"/>
      <c r="N77" s="495"/>
      <c r="O77" s="618"/>
      <c r="P77" s="489"/>
      <c r="Q77" s="244"/>
      <c r="R77" s="244"/>
      <c r="S77" s="244"/>
      <c r="T77" s="244"/>
      <c r="U77" s="240"/>
      <c r="V77" s="240"/>
      <c r="W77" s="240"/>
      <c r="X77" s="240"/>
      <c r="Y77" s="240"/>
    </row>
    <row r="78" spans="1:25" x14ac:dyDescent="0.2">
      <c r="A78" s="225"/>
      <c r="B78" s="37"/>
      <c r="C78" s="10" t="s">
        <v>76</v>
      </c>
      <c r="D78" s="10"/>
      <c r="E78" s="62"/>
      <c r="F78" s="158"/>
      <c r="G78" s="302"/>
      <c r="H78" s="267"/>
      <c r="I78" s="487"/>
      <c r="J78" s="487"/>
      <c r="K78" s="487"/>
      <c r="L78" s="499"/>
      <c r="M78" s="515"/>
      <c r="N78" s="495"/>
      <c r="O78" s="102"/>
      <c r="P78" s="487"/>
      <c r="Q78" s="237"/>
      <c r="R78" s="237"/>
      <c r="S78" s="237"/>
      <c r="T78" s="237"/>
      <c r="U78" s="102"/>
      <c r="V78" s="102"/>
      <c r="W78" s="102"/>
      <c r="X78" s="102"/>
      <c r="Y78" s="102"/>
    </row>
    <row r="79" spans="1:25" x14ac:dyDescent="0.2">
      <c r="A79" s="225">
        <v>40</v>
      </c>
      <c r="B79" s="37"/>
      <c r="C79" s="10"/>
      <c r="D79" s="10" t="s">
        <v>117</v>
      </c>
      <c r="E79" s="19">
        <v>112</v>
      </c>
      <c r="F79" s="159">
        <v>1100</v>
      </c>
      <c r="G79" s="303">
        <f>SUM(I79*J79,K79*L79)</f>
        <v>1092717.984375</v>
      </c>
      <c r="H79" s="268" t="s">
        <v>517</v>
      </c>
      <c r="I79" s="490">
        <f>+'KIPP Assumptions'!D$83</f>
        <v>21</v>
      </c>
      <c r="J79" s="314">
        <f>+'Yr 2 Operating Statement of Act'!J79*(1+'Operating Statement of Act'!$M$79)</f>
        <v>49177.046875</v>
      </c>
      <c r="K79" s="490">
        <f>'KIPP Assumptions'!D84</f>
        <v>2</v>
      </c>
      <c r="L79" s="314">
        <v>30000</v>
      </c>
      <c r="M79" s="487"/>
      <c r="N79" s="487"/>
      <c r="O79" s="487"/>
      <c r="P79" s="487"/>
      <c r="Q79" s="237"/>
      <c r="R79" s="237"/>
      <c r="S79" s="237"/>
      <c r="T79" s="237"/>
      <c r="U79" s="102"/>
      <c r="V79" s="102"/>
      <c r="W79" s="102"/>
      <c r="X79" s="102"/>
      <c r="Y79" s="102"/>
    </row>
    <row r="80" spans="1:25" x14ac:dyDescent="0.2">
      <c r="A80" s="225">
        <v>41</v>
      </c>
      <c r="B80" s="37"/>
      <c r="C80" s="10"/>
      <c r="D80" s="10" t="s">
        <v>78</v>
      </c>
      <c r="E80" s="19" t="s">
        <v>79</v>
      </c>
      <c r="F80" s="159" t="s">
        <v>80</v>
      </c>
      <c r="G80" s="303"/>
      <c r="H80" s="268"/>
      <c r="I80" s="490"/>
      <c r="J80" s="487"/>
      <c r="K80" s="314"/>
      <c r="L80" s="491"/>
      <c r="M80" s="487"/>
      <c r="N80" s="487"/>
      <c r="O80" s="487"/>
      <c r="P80" s="487"/>
      <c r="Q80" s="237"/>
      <c r="R80" s="237"/>
      <c r="S80" s="237"/>
      <c r="T80" s="237"/>
      <c r="U80" s="102"/>
      <c r="V80" s="102"/>
      <c r="W80" s="102"/>
      <c r="X80" s="102"/>
      <c r="Y80" s="102"/>
    </row>
    <row r="81" spans="1:25" x14ac:dyDescent="0.2">
      <c r="A81" s="225">
        <v>42</v>
      </c>
      <c r="B81" s="37"/>
      <c r="C81" s="10"/>
      <c r="D81" s="10" t="s">
        <v>81</v>
      </c>
      <c r="E81" s="19" t="s">
        <v>82</v>
      </c>
      <c r="F81" s="159" t="s">
        <v>80</v>
      </c>
      <c r="G81" s="303"/>
      <c r="H81" s="290"/>
      <c r="I81" s="490"/>
      <c r="J81" s="487"/>
      <c r="K81" s="487"/>
      <c r="L81" s="491"/>
      <c r="M81" s="487"/>
      <c r="N81" s="487"/>
      <c r="O81" s="487"/>
      <c r="P81" s="487"/>
      <c r="Q81" s="237"/>
      <c r="R81" s="237"/>
      <c r="S81" s="237"/>
      <c r="T81" s="237"/>
      <c r="U81" s="102"/>
      <c r="V81" s="102"/>
      <c r="W81" s="102"/>
      <c r="X81" s="102"/>
      <c r="Y81" s="102"/>
    </row>
    <row r="82" spans="1:25" x14ac:dyDescent="0.2">
      <c r="A82" s="225">
        <v>43</v>
      </c>
      <c r="B82" s="37"/>
      <c r="C82" s="10" t="s">
        <v>83</v>
      </c>
      <c r="D82" s="10"/>
      <c r="E82" s="19" t="s">
        <v>84</v>
      </c>
      <c r="F82" s="159" t="s">
        <v>80</v>
      </c>
      <c r="G82" s="303">
        <v>85245.677419354848</v>
      </c>
      <c r="H82" s="268" t="s">
        <v>472</v>
      </c>
      <c r="I82" s="490"/>
      <c r="J82" s="491"/>
      <c r="K82" s="487"/>
      <c r="L82" s="491"/>
      <c r="M82" s="487"/>
      <c r="N82" s="487"/>
      <c r="O82" s="487"/>
      <c r="P82" s="487"/>
      <c r="Q82" s="237"/>
      <c r="R82" s="237"/>
      <c r="S82" s="237"/>
      <c r="T82" s="237"/>
      <c r="U82" s="102"/>
      <c r="V82" s="102"/>
      <c r="W82" s="102"/>
      <c r="X82" s="102"/>
      <c r="Y82" s="102"/>
    </row>
    <row r="83" spans="1:25" x14ac:dyDescent="0.2">
      <c r="A83" s="225">
        <v>44</v>
      </c>
      <c r="B83" s="37"/>
      <c r="C83" s="10" t="s">
        <v>85</v>
      </c>
      <c r="D83" s="10"/>
      <c r="E83" s="19" t="s">
        <v>86</v>
      </c>
      <c r="F83" s="159" t="s">
        <v>80</v>
      </c>
      <c r="G83" s="303"/>
      <c r="H83" s="268"/>
      <c r="I83" s="490"/>
      <c r="J83" s="487"/>
      <c r="K83" s="487"/>
      <c r="L83" s="491"/>
      <c r="M83" s="487"/>
      <c r="N83" s="487"/>
      <c r="O83" s="487"/>
      <c r="P83" s="487"/>
      <c r="Q83" s="237"/>
      <c r="R83" s="237"/>
      <c r="S83" s="237"/>
      <c r="T83" s="237"/>
      <c r="U83" s="102"/>
      <c r="V83" s="102"/>
      <c r="W83" s="102"/>
      <c r="X83" s="102"/>
      <c r="Y83" s="102"/>
    </row>
    <row r="84" spans="1:25" x14ac:dyDescent="0.2">
      <c r="A84" s="225">
        <v>45</v>
      </c>
      <c r="B84" s="37"/>
      <c r="C84" s="10" t="s">
        <v>87</v>
      </c>
      <c r="D84" s="10"/>
      <c r="E84" s="19" t="s">
        <v>88</v>
      </c>
      <c r="F84" s="159" t="s">
        <v>80</v>
      </c>
      <c r="G84" s="303">
        <v>5202</v>
      </c>
      <c r="H84" s="268" t="s">
        <v>430</v>
      </c>
      <c r="I84" s="490"/>
      <c r="J84" s="491"/>
      <c r="K84" s="491"/>
      <c r="L84" s="491"/>
      <c r="M84" s="487"/>
      <c r="N84" s="487"/>
      <c r="O84" s="487"/>
      <c r="P84" s="487"/>
      <c r="Q84" s="237"/>
      <c r="R84" s="237"/>
      <c r="S84" s="237"/>
      <c r="T84" s="237"/>
      <c r="U84" s="102"/>
      <c r="V84" s="102"/>
      <c r="W84" s="102"/>
      <c r="X84" s="102"/>
      <c r="Y84" s="102"/>
    </row>
    <row r="85" spans="1:25" x14ac:dyDescent="0.2">
      <c r="A85" s="225"/>
      <c r="B85" s="37"/>
      <c r="C85" s="10" t="s">
        <v>89</v>
      </c>
      <c r="D85" s="10"/>
      <c r="E85" s="62"/>
      <c r="F85" s="158"/>
      <c r="G85" s="302"/>
      <c r="H85" s="267"/>
      <c r="I85" s="490"/>
      <c r="J85" s="487"/>
      <c r="K85" s="487"/>
      <c r="L85" s="491"/>
      <c r="M85" s="487"/>
      <c r="N85" s="487"/>
      <c r="O85" s="487"/>
      <c r="P85" s="487"/>
      <c r="Q85" s="237"/>
      <c r="R85" s="237"/>
      <c r="S85" s="237"/>
      <c r="T85" s="237"/>
      <c r="U85" s="102"/>
      <c r="V85" s="102"/>
      <c r="W85" s="102"/>
      <c r="X85" s="102"/>
      <c r="Y85" s="102"/>
    </row>
    <row r="86" spans="1:25" x14ac:dyDescent="0.2">
      <c r="A86" s="225">
        <v>46</v>
      </c>
      <c r="B86" s="37"/>
      <c r="C86" s="10"/>
      <c r="D86" s="10" t="s">
        <v>6</v>
      </c>
      <c r="E86" s="19" t="s">
        <v>90</v>
      </c>
      <c r="F86" s="159" t="s">
        <v>80</v>
      </c>
      <c r="G86" s="303">
        <v>130519.85806451614</v>
      </c>
      <c r="H86" s="268" t="s">
        <v>434</v>
      </c>
      <c r="I86" s="490"/>
      <c r="J86" s="491"/>
      <c r="K86" s="487"/>
      <c r="L86" s="491"/>
      <c r="M86" s="487"/>
      <c r="N86" s="487"/>
      <c r="O86" s="487"/>
      <c r="P86" s="487"/>
      <c r="Q86" s="237"/>
      <c r="R86" s="237"/>
      <c r="S86" s="237"/>
      <c r="T86" s="237"/>
      <c r="U86" s="102"/>
      <c r="V86" s="102"/>
      <c r="W86" s="102"/>
      <c r="X86" s="102"/>
      <c r="Y86" s="102"/>
    </row>
    <row r="87" spans="1:25" x14ac:dyDescent="0.2">
      <c r="A87" s="225">
        <v>47</v>
      </c>
      <c r="B87" s="37"/>
      <c r="C87" s="10"/>
      <c r="D87" s="10" t="s">
        <v>91</v>
      </c>
      <c r="E87" s="19" t="s">
        <v>92</v>
      </c>
      <c r="F87" s="159" t="s">
        <v>80</v>
      </c>
      <c r="G87" s="303">
        <v>18458.709677419356</v>
      </c>
      <c r="H87" s="268"/>
      <c r="I87" s="490"/>
      <c r="J87" s="491"/>
      <c r="K87" s="487"/>
      <c r="L87" s="491"/>
      <c r="M87" s="487"/>
      <c r="N87" s="487"/>
      <c r="O87" s="487"/>
      <c r="P87" s="487"/>
      <c r="Q87" s="237"/>
      <c r="R87" s="237"/>
      <c r="S87" s="237"/>
      <c r="T87" s="237"/>
      <c r="U87" s="102"/>
      <c r="V87" s="102"/>
      <c r="W87" s="102"/>
      <c r="X87" s="102"/>
      <c r="Y87" s="102"/>
    </row>
    <row r="88" spans="1:25" x14ac:dyDescent="0.2">
      <c r="A88" s="225">
        <v>48</v>
      </c>
      <c r="B88" s="37"/>
      <c r="C88" s="10" t="s">
        <v>93</v>
      </c>
      <c r="D88" s="10"/>
      <c r="E88" s="19" t="s">
        <v>94</v>
      </c>
      <c r="F88" s="159" t="s">
        <v>80</v>
      </c>
      <c r="G88" s="303">
        <v>0</v>
      </c>
      <c r="H88" s="268" t="s">
        <v>513</v>
      </c>
      <c r="I88" s="490"/>
      <c r="J88" s="491"/>
      <c r="K88" s="487"/>
      <c r="L88" s="491"/>
      <c r="M88" s="487"/>
      <c r="N88" s="487"/>
      <c r="O88" s="487"/>
      <c r="P88" s="487"/>
      <c r="Q88" s="237"/>
      <c r="R88" s="237"/>
      <c r="S88" s="237"/>
      <c r="T88" s="237"/>
      <c r="U88" s="102"/>
      <c r="V88" s="102"/>
      <c r="W88" s="102"/>
      <c r="X88" s="102"/>
      <c r="Y88" s="102"/>
    </row>
    <row r="89" spans="1:25" x14ac:dyDescent="0.2">
      <c r="A89" s="225">
        <v>49</v>
      </c>
      <c r="B89" s="37"/>
      <c r="C89" s="10" t="s">
        <v>95</v>
      </c>
      <c r="D89" s="10"/>
      <c r="E89" s="19" t="s">
        <v>96</v>
      </c>
      <c r="F89" s="159" t="s">
        <v>80</v>
      </c>
      <c r="G89" s="303"/>
      <c r="H89" s="268"/>
      <c r="I89" s="490"/>
      <c r="J89" s="487"/>
      <c r="K89" s="487"/>
      <c r="L89" s="491"/>
      <c r="M89" s="487"/>
      <c r="N89" s="487"/>
      <c r="O89" s="487"/>
      <c r="P89" s="487"/>
      <c r="Q89" s="237"/>
      <c r="R89" s="237"/>
      <c r="S89" s="237"/>
      <c r="T89" s="237"/>
      <c r="U89" s="102"/>
      <c r="V89" s="102"/>
      <c r="W89" s="102"/>
      <c r="X89" s="102"/>
      <c r="Y89" s="102"/>
    </row>
    <row r="90" spans="1:25" x14ac:dyDescent="0.2">
      <c r="A90" s="225">
        <v>50</v>
      </c>
      <c r="B90" s="37"/>
      <c r="C90" s="10" t="s">
        <v>295</v>
      </c>
      <c r="D90" s="10"/>
      <c r="E90" s="19" t="s">
        <v>97</v>
      </c>
      <c r="F90" s="159" t="s">
        <v>80</v>
      </c>
      <c r="G90" s="303">
        <f>+SUM(G$79:G$81)*I90</f>
        <v>77335.294971087467</v>
      </c>
      <c r="H90" s="268"/>
      <c r="I90" s="492">
        <f>'KIPP Assumptions'!$B$105+'KIPP Assumptions'!$B$106+'KIPP Assumptions'!$B$107+'KIPP Assumptions'!$B$108+'KIPP Assumptions'!$B$109</f>
        <v>7.0773334087038758E-2</v>
      </c>
      <c r="J90" s="487"/>
      <c r="K90" s="487"/>
      <c r="L90" s="491"/>
      <c r="M90" s="487"/>
      <c r="N90" s="487"/>
      <c r="O90" s="487"/>
      <c r="P90" s="487"/>
      <c r="Q90" s="237"/>
      <c r="R90" s="237"/>
      <c r="S90" s="237"/>
      <c r="T90" s="237"/>
      <c r="U90" s="102"/>
      <c r="V90" s="102"/>
      <c r="W90" s="102"/>
      <c r="X90" s="102"/>
      <c r="Y90" s="102"/>
    </row>
    <row r="91" spans="1:25" x14ac:dyDescent="0.2">
      <c r="A91" s="225">
        <v>51</v>
      </c>
      <c r="B91" s="37"/>
      <c r="C91" s="10" t="s">
        <v>98</v>
      </c>
      <c r="D91" s="10"/>
      <c r="E91" s="19" t="s">
        <v>99</v>
      </c>
      <c r="F91" s="159" t="s">
        <v>80</v>
      </c>
      <c r="G91" s="303">
        <f t="shared" ref="G91:G94" si="0">+SUM(G$79:G$81)*I91</f>
        <v>67748.515031250005</v>
      </c>
      <c r="H91" s="268"/>
      <c r="I91" s="492">
        <f>'KIPP Assumptions'!$B$111</f>
        <v>6.2E-2</v>
      </c>
      <c r="J91" s="487"/>
      <c r="K91" s="487"/>
      <c r="L91" s="491"/>
      <c r="M91" s="487"/>
      <c r="N91" s="487"/>
      <c r="O91" s="487"/>
      <c r="P91" s="487"/>
      <c r="Q91" s="237"/>
      <c r="R91" s="237"/>
      <c r="S91" s="237"/>
      <c r="T91" s="237"/>
      <c r="U91" s="102"/>
      <c r="V91" s="102"/>
      <c r="W91" s="102"/>
      <c r="X91" s="102"/>
      <c r="Y91" s="102"/>
    </row>
    <row r="92" spans="1:25" x14ac:dyDescent="0.2">
      <c r="A92" s="225">
        <v>52</v>
      </c>
      <c r="B92" s="37"/>
      <c r="C92" s="10" t="s">
        <v>100</v>
      </c>
      <c r="D92" s="10"/>
      <c r="E92" s="19" t="s">
        <v>101</v>
      </c>
      <c r="F92" s="159" t="s">
        <v>80</v>
      </c>
      <c r="G92" s="303">
        <f t="shared" si="0"/>
        <v>15844.410773437501</v>
      </c>
      <c r="H92" s="268"/>
      <c r="I92" s="492">
        <f>'KIPP Assumptions'!$B$110</f>
        <v>1.4500000000000001E-2</v>
      </c>
      <c r="J92" s="487"/>
      <c r="K92" s="487"/>
      <c r="L92" s="491"/>
      <c r="M92" s="487"/>
      <c r="N92" s="487"/>
      <c r="O92" s="487"/>
      <c r="P92" s="487"/>
      <c r="Q92" s="237"/>
      <c r="R92" s="237"/>
      <c r="S92" s="237"/>
      <c r="T92" s="237"/>
      <c r="U92" s="102"/>
      <c r="V92" s="102"/>
      <c r="W92" s="102"/>
      <c r="X92" s="102"/>
      <c r="Y92" s="102"/>
    </row>
    <row r="93" spans="1:25" x14ac:dyDescent="0.2">
      <c r="A93" s="225">
        <v>53</v>
      </c>
      <c r="B93" s="37"/>
      <c r="C93" s="10" t="s">
        <v>219</v>
      </c>
      <c r="D93" s="10"/>
      <c r="E93" s="19" t="s">
        <v>220</v>
      </c>
      <c r="F93" s="159">
        <v>1100</v>
      </c>
      <c r="G93" s="303">
        <f t="shared" si="0"/>
        <v>35108.030991087973</v>
      </c>
      <c r="H93" s="268"/>
      <c r="I93" s="492">
        <f>+'KIPP Assumptions'!$B$113</f>
        <v>3.21290868212155E-2</v>
      </c>
      <c r="J93" s="487"/>
      <c r="K93" s="487"/>
      <c r="L93" s="491"/>
      <c r="M93" s="487"/>
      <c r="N93" s="487"/>
      <c r="O93" s="487"/>
      <c r="P93" s="487"/>
      <c r="Q93" s="237"/>
      <c r="R93" s="237"/>
      <c r="S93" s="237"/>
      <c r="T93" s="237"/>
      <c r="U93" s="102"/>
      <c r="V93" s="102"/>
      <c r="W93" s="102"/>
      <c r="X93" s="102"/>
      <c r="Y93" s="102"/>
    </row>
    <row r="94" spans="1:25" x14ac:dyDescent="0.2">
      <c r="A94" s="225">
        <v>54</v>
      </c>
      <c r="B94" s="37"/>
      <c r="C94" s="10" t="s">
        <v>102</v>
      </c>
      <c r="D94" s="10"/>
      <c r="E94" s="19" t="s">
        <v>103</v>
      </c>
      <c r="F94" s="159" t="s">
        <v>80</v>
      </c>
      <c r="G94" s="303">
        <f t="shared" si="0"/>
        <v>1092.717984375</v>
      </c>
      <c r="H94" s="268"/>
      <c r="I94" s="492">
        <f>+'KIPP Assumptions'!$B$112</f>
        <v>1E-3</v>
      </c>
      <c r="J94" s="487"/>
      <c r="K94" s="487"/>
      <c r="L94" s="491"/>
      <c r="M94" s="487"/>
      <c r="N94" s="487"/>
      <c r="O94" s="487"/>
      <c r="P94" s="487"/>
      <c r="Q94" s="237"/>
      <c r="R94" s="237"/>
      <c r="S94" s="237"/>
      <c r="T94" s="237"/>
      <c r="U94" s="102"/>
      <c r="V94" s="102"/>
      <c r="W94" s="102"/>
      <c r="X94" s="102"/>
      <c r="Y94" s="102"/>
    </row>
    <row r="95" spans="1:25" x14ac:dyDescent="0.2">
      <c r="A95" s="225">
        <v>55</v>
      </c>
      <c r="B95" s="37"/>
      <c r="C95" s="10" t="s">
        <v>104</v>
      </c>
      <c r="D95" s="10"/>
      <c r="E95" s="19" t="s">
        <v>105</v>
      </c>
      <c r="F95" s="159" t="s">
        <v>80</v>
      </c>
      <c r="G95" s="303"/>
      <c r="H95" s="268"/>
      <c r="J95" s="487"/>
      <c r="K95" s="487"/>
      <c r="L95" s="491"/>
      <c r="M95" s="487"/>
      <c r="N95" s="487"/>
      <c r="O95" s="487"/>
      <c r="P95" s="487"/>
      <c r="Q95" s="237"/>
      <c r="R95" s="237"/>
      <c r="S95" s="237"/>
      <c r="T95" s="237"/>
      <c r="U95" s="102"/>
      <c r="V95" s="102"/>
      <c r="W95" s="102"/>
      <c r="X95" s="102"/>
      <c r="Y95" s="102"/>
    </row>
    <row r="96" spans="1:25" x14ac:dyDescent="0.2">
      <c r="A96" s="225">
        <v>56</v>
      </c>
      <c r="B96" s="37"/>
      <c r="C96" s="86" t="s">
        <v>283</v>
      </c>
      <c r="D96" s="10"/>
      <c r="E96" s="19"/>
      <c r="F96" s="159"/>
      <c r="G96" s="303"/>
      <c r="H96" s="268"/>
      <c r="I96" s="490"/>
      <c r="J96" s="487"/>
      <c r="K96" s="487"/>
      <c r="L96" s="491"/>
      <c r="M96" s="487"/>
      <c r="N96" s="487"/>
      <c r="O96" s="487"/>
      <c r="P96" s="487"/>
      <c r="Q96" s="237"/>
      <c r="R96" s="237"/>
      <c r="S96" s="237"/>
      <c r="T96" s="237"/>
      <c r="U96" s="102"/>
      <c r="V96" s="102"/>
      <c r="W96" s="102"/>
      <c r="X96" s="102"/>
      <c r="Y96" s="102"/>
    </row>
    <row r="97" spans="1:25" x14ac:dyDescent="0.2">
      <c r="A97" s="225">
        <v>57</v>
      </c>
      <c r="B97" s="37"/>
      <c r="C97" s="10" t="s">
        <v>446</v>
      </c>
      <c r="D97" s="10"/>
      <c r="E97" s="19">
        <v>150</v>
      </c>
      <c r="F97" s="159">
        <v>1100</v>
      </c>
      <c r="G97" s="303">
        <f>+'KIPP Assumptions'!D$97*J97*(1.0765)</f>
        <v>55978</v>
      </c>
      <c r="H97" s="268" t="s">
        <v>517</v>
      </c>
      <c r="I97" s="490">
        <f>'KIPP Assumptions'!D97</f>
        <v>13</v>
      </c>
      <c r="J97" s="491">
        <f>+'Yr 2 Operating Statement of Act'!J97*(1+'Operating Statement of Act'!$M$97)</f>
        <v>4000</v>
      </c>
      <c r="K97" s="487"/>
      <c r="L97" s="491"/>
      <c r="M97" s="487"/>
      <c r="N97" s="487"/>
      <c r="O97" s="487"/>
      <c r="P97" s="487"/>
      <c r="Q97" s="237"/>
      <c r="R97" s="237"/>
      <c r="S97" s="237"/>
      <c r="T97" s="237"/>
      <c r="U97" s="102"/>
      <c r="V97" s="102"/>
      <c r="W97" s="102"/>
      <c r="X97" s="102"/>
      <c r="Y97" s="102"/>
    </row>
    <row r="98" spans="1:25" x14ac:dyDescent="0.2">
      <c r="A98" s="225">
        <v>58</v>
      </c>
      <c r="B98" s="37"/>
      <c r="C98" s="86"/>
      <c r="D98" s="10"/>
      <c r="E98" s="19"/>
      <c r="F98" s="159"/>
      <c r="G98" s="303"/>
      <c r="H98" s="268"/>
      <c r="I98" s="490"/>
      <c r="J98" s="487"/>
      <c r="K98" s="487"/>
      <c r="L98" s="491"/>
      <c r="M98" s="487"/>
      <c r="N98" s="487"/>
      <c r="O98" s="487"/>
      <c r="P98" s="487"/>
      <c r="Q98" s="237"/>
      <c r="R98" s="237"/>
      <c r="S98" s="237"/>
      <c r="T98" s="237"/>
      <c r="U98" s="102"/>
      <c r="V98" s="102"/>
      <c r="W98" s="102"/>
      <c r="X98" s="102"/>
      <c r="Y98" s="102"/>
    </row>
    <row r="99" spans="1:25" x14ac:dyDescent="0.2">
      <c r="A99" s="225">
        <v>59</v>
      </c>
      <c r="D99" s="14"/>
      <c r="E99" s="15"/>
      <c r="F99" s="167"/>
      <c r="G99" s="315"/>
      <c r="H99" s="283"/>
      <c r="I99" s="490"/>
      <c r="J99" s="487"/>
      <c r="K99" s="487"/>
      <c r="L99" s="491"/>
      <c r="M99" s="487"/>
      <c r="N99" s="487"/>
      <c r="O99" s="487"/>
      <c r="P99" s="487"/>
      <c r="Q99" s="237"/>
      <c r="R99" s="237"/>
      <c r="S99" s="237"/>
      <c r="T99" s="237"/>
      <c r="U99" s="102"/>
      <c r="V99" s="102"/>
      <c r="W99" s="102"/>
      <c r="X99" s="102"/>
      <c r="Y99" s="102"/>
    </row>
    <row r="100" spans="1:25" ht="15" x14ac:dyDescent="0.25">
      <c r="A100" s="226">
        <v>60</v>
      </c>
      <c r="B100" s="88" t="s">
        <v>106</v>
      </c>
      <c r="C100" s="52"/>
      <c r="D100" s="52"/>
      <c r="E100" s="50"/>
      <c r="F100" s="163"/>
      <c r="G100" s="306">
        <f>SUM(G78:G99)</f>
        <v>1585251.1992875284</v>
      </c>
      <c r="H100" s="271"/>
      <c r="I100" s="490"/>
      <c r="J100" s="487"/>
      <c r="K100" s="487"/>
      <c r="L100" s="491"/>
      <c r="M100" s="487"/>
      <c r="N100" s="487"/>
      <c r="O100" s="487"/>
      <c r="P100" s="487"/>
      <c r="Q100" s="237"/>
      <c r="R100" s="237"/>
      <c r="S100" s="237"/>
      <c r="T100" s="237"/>
      <c r="U100" s="102"/>
      <c r="V100" s="102"/>
      <c r="W100" s="102"/>
      <c r="X100" s="102"/>
      <c r="Y100" s="102"/>
    </row>
    <row r="101" spans="1:25" x14ac:dyDescent="0.2">
      <c r="A101" s="225"/>
      <c r="D101" s="14"/>
      <c r="E101" s="15"/>
      <c r="F101" s="167"/>
      <c r="G101" s="315"/>
      <c r="H101" s="283"/>
      <c r="I101" s="490"/>
      <c r="J101" s="487"/>
      <c r="K101" s="487"/>
      <c r="L101" s="491"/>
      <c r="M101" s="487"/>
      <c r="N101" s="487"/>
      <c r="O101" s="487"/>
      <c r="P101" s="487"/>
      <c r="Q101" s="237"/>
      <c r="R101" s="237"/>
      <c r="S101" s="237"/>
      <c r="T101" s="237"/>
      <c r="U101" s="102"/>
      <c r="V101" s="102"/>
      <c r="W101" s="102"/>
      <c r="X101" s="102"/>
      <c r="Y101" s="102"/>
    </row>
    <row r="102" spans="1:25" s="5" customFormat="1" ht="15" x14ac:dyDescent="0.25">
      <c r="A102" s="227"/>
      <c r="B102" s="91" t="s">
        <v>14</v>
      </c>
      <c r="C102" s="56"/>
      <c r="D102" s="60"/>
      <c r="E102" s="64"/>
      <c r="F102" s="168"/>
      <c r="G102" s="316"/>
      <c r="H102" s="284"/>
      <c r="I102" s="490"/>
      <c r="J102" s="489"/>
      <c r="K102" s="489"/>
      <c r="L102" s="491"/>
      <c r="M102" s="489"/>
      <c r="N102" s="489"/>
      <c r="O102" s="489"/>
      <c r="P102" s="489"/>
      <c r="Q102" s="244"/>
      <c r="R102" s="244"/>
      <c r="S102" s="244"/>
      <c r="T102" s="244"/>
      <c r="U102" s="240"/>
      <c r="V102" s="240"/>
      <c r="W102" s="240"/>
      <c r="X102" s="240"/>
      <c r="Y102" s="240"/>
    </row>
    <row r="103" spans="1:25" s="5" customFormat="1" ht="15" x14ac:dyDescent="0.25">
      <c r="A103" s="228"/>
      <c r="B103" s="90" t="s">
        <v>15</v>
      </c>
      <c r="C103" s="57"/>
      <c r="D103" s="61"/>
      <c r="E103" s="66"/>
      <c r="F103" s="169"/>
      <c r="G103" s="317"/>
      <c r="H103" s="285"/>
      <c r="I103" s="490"/>
      <c r="J103" s="489"/>
      <c r="K103" s="489"/>
      <c r="L103" s="491"/>
      <c r="M103" s="489"/>
      <c r="N103" s="489"/>
      <c r="O103" s="489"/>
      <c r="P103" s="489"/>
      <c r="Q103" s="244"/>
      <c r="R103" s="244"/>
      <c r="S103" s="244"/>
      <c r="T103" s="244"/>
      <c r="U103" s="240"/>
      <c r="V103" s="240"/>
      <c r="W103" s="240"/>
      <c r="X103" s="240"/>
      <c r="Y103" s="240"/>
    </row>
    <row r="104" spans="1:25" x14ac:dyDescent="0.2">
      <c r="A104" s="225"/>
      <c r="B104" s="10"/>
      <c r="C104" s="10" t="s">
        <v>76</v>
      </c>
      <c r="D104" s="14"/>
      <c r="E104" s="62"/>
      <c r="F104" s="158"/>
      <c r="G104" s="302"/>
      <c r="H104" s="267"/>
      <c r="I104" s="490"/>
      <c r="J104" s="487"/>
      <c r="K104" s="487"/>
      <c r="L104" s="491"/>
      <c r="M104" s="487"/>
      <c r="N104" s="487"/>
      <c r="O104" s="487"/>
      <c r="P104" s="487"/>
      <c r="Q104" s="237"/>
      <c r="R104" s="237"/>
      <c r="S104" s="237"/>
      <c r="T104" s="237"/>
      <c r="U104" s="102"/>
      <c r="V104" s="102"/>
      <c r="W104" s="102"/>
      <c r="X104" s="102"/>
      <c r="Y104" s="102"/>
    </row>
    <row r="105" spans="1:25" x14ac:dyDescent="0.2">
      <c r="A105" s="225">
        <v>61</v>
      </c>
      <c r="B105" s="37"/>
      <c r="C105" s="10"/>
      <c r="D105" s="10" t="s">
        <v>117</v>
      </c>
      <c r="E105" s="19" t="s">
        <v>77</v>
      </c>
      <c r="F105" s="159" t="s">
        <v>107</v>
      </c>
      <c r="G105" s="303">
        <f>+I105*J105</f>
        <v>282638.60625000001</v>
      </c>
      <c r="H105" s="268" t="s">
        <v>517</v>
      </c>
      <c r="I105" s="493">
        <f>SUM('KIPP Assumptions'!D86:D87)</f>
        <v>6</v>
      </c>
      <c r="J105" s="314">
        <f>+'Yr 2 Operating Statement of Act'!J105*(1+'Operating Statement of Act'!$M$79)</f>
        <v>47106.434375000004</v>
      </c>
      <c r="K105" s="487"/>
      <c r="L105" s="491"/>
      <c r="M105" s="487"/>
      <c r="N105" s="487"/>
      <c r="O105" s="487"/>
      <c r="P105" s="487"/>
      <c r="Q105" s="237"/>
      <c r="R105" s="237"/>
      <c r="S105" s="237"/>
      <c r="T105" s="237"/>
      <c r="U105" s="102"/>
      <c r="V105" s="102"/>
      <c r="W105" s="102"/>
      <c r="X105" s="102"/>
      <c r="Y105" s="102"/>
    </row>
    <row r="106" spans="1:25" x14ac:dyDescent="0.2">
      <c r="A106" s="225">
        <v>62</v>
      </c>
      <c r="B106" s="37"/>
      <c r="C106" s="10"/>
      <c r="D106" s="10" t="s">
        <v>285</v>
      </c>
      <c r="E106" s="19" t="s">
        <v>108</v>
      </c>
      <c r="F106" s="159" t="s">
        <v>107</v>
      </c>
      <c r="G106" s="303">
        <f t="shared" ref="G106:G107" si="1">+I106*J106</f>
        <v>137178.07812500003</v>
      </c>
      <c r="H106" s="268" t="s">
        <v>517</v>
      </c>
      <c r="I106" s="493">
        <f>SUM('KIPP Assumptions'!D89:D90)</f>
        <v>2.5</v>
      </c>
      <c r="J106" s="314">
        <f>+'Yr 2 Operating Statement of Act'!J106*(1+'Operating Statement of Act'!$M$79)</f>
        <v>54871.231250000012</v>
      </c>
      <c r="K106" s="487"/>
      <c r="L106" s="491"/>
      <c r="M106" s="487"/>
      <c r="N106" s="487"/>
      <c r="O106" s="487"/>
      <c r="P106" s="487"/>
      <c r="Q106" s="237"/>
      <c r="R106" s="237"/>
      <c r="S106" s="237"/>
      <c r="T106" s="237"/>
      <c r="U106" s="102"/>
      <c r="V106" s="102"/>
      <c r="W106" s="102"/>
      <c r="X106" s="102"/>
      <c r="Y106" s="102"/>
    </row>
    <row r="107" spans="1:25" x14ac:dyDescent="0.2">
      <c r="A107" s="225">
        <v>63</v>
      </c>
      <c r="B107" s="37"/>
      <c r="C107" s="10"/>
      <c r="D107" s="10" t="s">
        <v>78</v>
      </c>
      <c r="E107" s="19" t="s">
        <v>79</v>
      </c>
      <c r="F107" s="159" t="s">
        <v>107</v>
      </c>
      <c r="G107" s="303">
        <f t="shared" si="1"/>
        <v>93177.562500000029</v>
      </c>
      <c r="H107" s="268" t="s">
        <v>517</v>
      </c>
      <c r="I107" s="490">
        <f>'KIPP Assumptions'!D88</f>
        <v>3</v>
      </c>
      <c r="J107" s="314">
        <f>+'Yr 2 Operating Statement of Act'!J107*(1+'Operating Statement of Act'!$M$79)</f>
        <v>31059.187500000007</v>
      </c>
      <c r="K107" s="487"/>
      <c r="L107" s="491"/>
      <c r="M107" s="487"/>
      <c r="N107" s="487"/>
      <c r="O107" s="487"/>
      <c r="P107" s="487"/>
      <c r="Q107" s="237"/>
      <c r="R107" s="237"/>
      <c r="S107" s="237"/>
      <c r="T107" s="237"/>
      <c r="U107" s="102"/>
      <c r="V107" s="102"/>
      <c r="W107" s="102"/>
      <c r="X107" s="102"/>
      <c r="Y107" s="102"/>
    </row>
    <row r="108" spans="1:25" x14ac:dyDescent="0.2">
      <c r="A108" s="225">
        <v>64</v>
      </c>
      <c r="B108" s="37"/>
      <c r="C108" s="10"/>
      <c r="D108" s="10" t="s">
        <v>81</v>
      </c>
      <c r="E108" s="19" t="s">
        <v>82</v>
      </c>
      <c r="F108" s="159" t="s">
        <v>107</v>
      </c>
      <c r="G108" s="303">
        <v>0</v>
      </c>
      <c r="H108" s="268" t="s">
        <v>517</v>
      </c>
      <c r="I108" s="490">
        <v>0</v>
      </c>
      <c r="J108" s="314"/>
      <c r="K108" s="487"/>
      <c r="L108" s="491"/>
      <c r="M108" s="487"/>
      <c r="N108" s="487"/>
      <c r="O108" s="487"/>
      <c r="P108" s="487"/>
      <c r="Q108" s="237"/>
      <c r="R108" s="237"/>
      <c r="S108" s="237"/>
      <c r="T108" s="237"/>
      <c r="U108" s="102"/>
      <c r="V108" s="102"/>
      <c r="W108" s="102"/>
      <c r="X108" s="102"/>
      <c r="Y108" s="102"/>
    </row>
    <row r="109" spans="1:25" x14ac:dyDescent="0.2">
      <c r="A109" s="225">
        <v>65</v>
      </c>
      <c r="B109" s="37"/>
      <c r="C109" s="10" t="s">
        <v>83</v>
      </c>
      <c r="D109" s="10"/>
      <c r="E109" s="19" t="s">
        <v>84</v>
      </c>
      <c r="F109" s="159" t="s">
        <v>107</v>
      </c>
      <c r="G109" s="303">
        <v>100750.99354838709</v>
      </c>
      <c r="H109" s="268" t="s">
        <v>444</v>
      </c>
      <c r="I109" s="490"/>
      <c r="J109" s="491"/>
      <c r="K109" s="487"/>
      <c r="L109" s="491"/>
      <c r="M109" s="487"/>
      <c r="N109" s="487"/>
      <c r="O109" s="487"/>
      <c r="P109" s="487"/>
      <c r="Q109" s="237"/>
      <c r="R109" s="237"/>
      <c r="S109" s="237"/>
      <c r="T109" s="237"/>
      <c r="U109" s="102"/>
      <c r="V109" s="102"/>
      <c r="W109" s="102"/>
      <c r="X109" s="102"/>
      <c r="Y109" s="102"/>
    </row>
    <row r="110" spans="1:25" x14ac:dyDescent="0.2">
      <c r="A110" s="225">
        <v>66</v>
      </c>
      <c r="B110" s="37"/>
      <c r="C110" s="10" t="s">
        <v>85</v>
      </c>
      <c r="D110" s="10"/>
      <c r="E110" s="19">
        <v>430</v>
      </c>
      <c r="F110" s="159">
        <v>1210</v>
      </c>
      <c r="G110" s="303"/>
      <c r="H110" s="268"/>
      <c r="I110" s="490"/>
      <c r="J110" s="487"/>
      <c r="K110" s="487"/>
      <c r="L110" s="491"/>
      <c r="M110" s="487"/>
      <c r="N110" s="487"/>
      <c r="O110" s="487"/>
      <c r="P110" s="487"/>
      <c r="Q110" s="237"/>
      <c r="R110" s="237"/>
      <c r="S110" s="237"/>
      <c r="T110" s="237"/>
      <c r="U110" s="102"/>
      <c r="V110" s="102"/>
      <c r="W110" s="102"/>
      <c r="X110" s="102"/>
      <c r="Y110" s="102"/>
    </row>
    <row r="111" spans="1:25" x14ac:dyDescent="0.2">
      <c r="A111" s="225">
        <v>67</v>
      </c>
      <c r="B111" s="37"/>
      <c r="C111" s="10" t="s">
        <v>87</v>
      </c>
      <c r="D111" s="10"/>
      <c r="E111" s="19" t="s">
        <v>88</v>
      </c>
      <c r="F111" s="159" t="s">
        <v>107</v>
      </c>
      <c r="G111" s="303"/>
      <c r="H111" s="268"/>
      <c r="I111" s="490"/>
      <c r="J111" s="487"/>
      <c r="K111" s="487"/>
      <c r="L111" s="491"/>
      <c r="M111" s="487"/>
      <c r="N111" s="487"/>
      <c r="O111" s="487"/>
      <c r="P111" s="487"/>
      <c r="Q111" s="237"/>
      <c r="R111" s="237"/>
      <c r="S111" s="237"/>
      <c r="T111" s="237"/>
      <c r="U111" s="102"/>
      <c r="V111" s="102"/>
      <c r="W111" s="102"/>
      <c r="X111" s="102"/>
      <c r="Y111" s="102"/>
    </row>
    <row r="112" spans="1:25" x14ac:dyDescent="0.2">
      <c r="A112" s="225"/>
      <c r="B112" s="37"/>
      <c r="C112" s="10" t="s">
        <v>109</v>
      </c>
      <c r="D112" s="10"/>
      <c r="E112" s="62"/>
      <c r="F112" s="158"/>
      <c r="G112" s="302"/>
      <c r="H112" s="267"/>
      <c r="I112" s="490"/>
      <c r="J112" s="487"/>
      <c r="K112" s="487"/>
      <c r="L112" s="491"/>
      <c r="M112" s="487"/>
      <c r="N112" s="487"/>
      <c r="O112" s="487"/>
      <c r="P112" s="487"/>
      <c r="Q112" s="237"/>
      <c r="R112" s="237"/>
      <c r="S112" s="237"/>
      <c r="T112" s="237"/>
      <c r="U112" s="102"/>
      <c r="V112" s="102"/>
      <c r="W112" s="102"/>
      <c r="X112" s="102"/>
      <c r="Y112" s="102"/>
    </row>
    <row r="113" spans="1:25" x14ac:dyDescent="0.2">
      <c r="A113" s="225">
        <v>68</v>
      </c>
      <c r="B113" s="37"/>
      <c r="C113" s="10"/>
      <c r="D113" s="10" t="s">
        <v>110</v>
      </c>
      <c r="E113" s="19" t="s">
        <v>90</v>
      </c>
      <c r="F113" s="159" t="s">
        <v>107</v>
      </c>
      <c r="G113" s="303">
        <v>17661.629032258064</v>
      </c>
      <c r="H113" s="268" t="s">
        <v>431</v>
      </c>
      <c r="I113" s="490"/>
      <c r="J113" s="491"/>
      <c r="K113" s="487"/>
      <c r="L113" s="491"/>
      <c r="M113" s="487"/>
      <c r="N113" s="487"/>
      <c r="O113" s="487"/>
      <c r="P113" s="487"/>
      <c r="Q113" s="237"/>
      <c r="R113" s="237"/>
      <c r="S113" s="237"/>
      <c r="T113" s="237"/>
      <c r="U113" s="102"/>
      <c r="V113" s="102"/>
      <c r="W113" s="102"/>
      <c r="X113" s="102"/>
      <c r="Y113" s="102"/>
    </row>
    <row r="114" spans="1:25" x14ac:dyDescent="0.2">
      <c r="A114" s="225">
        <v>69</v>
      </c>
      <c r="B114" s="37"/>
      <c r="C114" s="10"/>
      <c r="D114" s="10" t="s">
        <v>91</v>
      </c>
      <c r="E114" s="19" t="s">
        <v>92</v>
      </c>
      <c r="F114" s="159" t="s">
        <v>107</v>
      </c>
      <c r="G114" s="303">
        <v>0</v>
      </c>
      <c r="H114" s="268" t="s">
        <v>514</v>
      </c>
      <c r="I114" s="490"/>
      <c r="J114" s="491"/>
      <c r="K114" s="487"/>
      <c r="L114" s="491"/>
      <c r="M114" s="487"/>
      <c r="N114" s="487"/>
      <c r="O114" s="487"/>
      <c r="P114" s="487"/>
      <c r="Q114" s="237"/>
      <c r="R114" s="237"/>
      <c r="S114" s="237"/>
      <c r="T114" s="237"/>
      <c r="U114" s="102"/>
      <c r="V114" s="102"/>
      <c r="W114" s="102"/>
      <c r="X114" s="102"/>
      <c r="Y114" s="102"/>
    </row>
    <row r="115" spans="1:25" x14ac:dyDescent="0.2">
      <c r="A115" s="225">
        <v>70</v>
      </c>
      <c r="B115" s="37"/>
      <c r="C115" s="10" t="s">
        <v>93</v>
      </c>
      <c r="D115" s="10"/>
      <c r="E115" s="19" t="s">
        <v>94</v>
      </c>
      <c r="F115" s="159" t="s">
        <v>107</v>
      </c>
      <c r="G115" s="303"/>
      <c r="H115" s="268"/>
      <c r="I115" s="490"/>
      <c r="J115" s="487"/>
      <c r="K115" s="487"/>
      <c r="L115" s="491"/>
      <c r="M115" s="487"/>
      <c r="N115" s="487"/>
      <c r="O115" s="487"/>
      <c r="P115" s="487"/>
      <c r="Q115" s="237"/>
      <c r="R115" s="237"/>
      <c r="S115" s="237"/>
      <c r="T115" s="237"/>
      <c r="U115" s="102"/>
      <c r="V115" s="102"/>
      <c r="W115" s="102"/>
      <c r="X115" s="102"/>
      <c r="Y115" s="102"/>
    </row>
    <row r="116" spans="1:25" x14ac:dyDescent="0.2">
      <c r="A116" s="225">
        <v>71</v>
      </c>
      <c r="B116" s="37"/>
      <c r="C116" s="10" t="s">
        <v>95</v>
      </c>
      <c r="D116" s="10"/>
      <c r="E116" s="19" t="s">
        <v>96</v>
      </c>
      <c r="F116" s="159" t="s">
        <v>107</v>
      </c>
      <c r="G116" s="303"/>
      <c r="H116" s="268"/>
      <c r="I116" s="490"/>
      <c r="J116" s="487"/>
      <c r="K116" s="487"/>
      <c r="L116" s="491"/>
      <c r="M116" s="487"/>
      <c r="N116" s="487"/>
      <c r="O116" s="487"/>
      <c r="P116" s="487"/>
      <c r="Q116" s="237"/>
      <c r="R116" s="237"/>
      <c r="S116" s="237"/>
      <c r="T116" s="237"/>
      <c r="U116" s="102"/>
      <c r="V116" s="102"/>
      <c r="W116" s="102"/>
      <c r="X116" s="102"/>
      <c r="Y116" s="102"/>
    </row>
    <row r="117" spans="1:25" x14ac:dyDescent="0.2">
      <c r="A117" s="225">
        <v>72</v>
      </c>
      <c r="B117" s="37"/>
      <c r="C117" s="10" t="s">
        <v>295</v>
      </c>
      <c r="D117" s="10"/>
      <c r="E117" s="19" t="s">
        <v>97</v>
      </c>
      <c r="F117" s="159" t="s">
        <v>34</v>
      </c>
      <c r="G117" s="303">
        <f>+SUM(G$105:G$108)*$I117</f>
        <v>36306.313218813215</v>
      </c>
      <c r="H117" s="268"/>
      <c r="I117" s="492">
        <f>'KIPP Assumptions'!$B$105+'KIPP Assumptions'!$B$106+'KIPP Assumptions'!$B$107+'KIPP Assumptions'!$B$108+'KIPP Assumptions'!$B$109</f>
        <v>7.0773334087038758E-2</v>
      </c>
      <c r="J117" s="487"/>
      <c r="K117" s="487"/>
      <c r="L117" s="491"/>
      <c r="M117" s="487"/>
      <c r="N117" s="487"/>
      <c r="O117" s="487"/>
      <c r="P117" s="487"/>
      <c r="Q117" s="237"/>
      <c r="R117" s="237"/>
      <c r="S117" s="237"/>
      <c r="T117" s="237"/>
      <c r="U117" s="102"/>
      <c r="V117" s="102"/>
      <c r="W117" s="102"/>
      <c r="X117" s="102"/>
      <c r="Y117" s="102"/>
    </row>
    <row r="118" spans="1:25" x14ac:dyDescent="0.2">
      <c r="A118" s="225">
        <v>73</v>
      </c>
      <c r="B118" s="37"/>
      <c r="C118" s="10" t="s">
        <v>98</v>
      </c>
      <c r="D118" s="10"/>
      <c r="E118" s="19" t="s">
        <v>99</v>
      </c>
      <c r="F118" s="159" t="s">
        <v>34</v>
      </c>
      <c r="G118" s="303">
        <f t="shared" ref="G118:G121" si="2">+SUM(G$105:G$108)*$I118</f>
        <v>31805.643306250004</v>
      </c>
      <c r="H118" s="268"/>
      <c r="I118" s="492">
        <f>'KIPP Assumptions'!$B$111</f>
        <v>6.2E-2</v>
      </c>
      <c r="J118" s="487"/>
      <c r="K118" s="487"/>
      <c r="L118" s="491"/>
      <c r="M118" s="487"/>
      <c r="N118" s="487"/>
      <c r="O118" s="487"/>
      <c r="P118" s="487"/>
      <c r="Q118" s="237"/>
      <c r="R118" s="237"/>
      <c r="S118" s="237"/>
      <c r="T118" s="237"/>
      <c r="U118" s="102"/>
      <c r="V118" s="102"/>
      <c r="W118" s="102"/>
      <c r="X118" s="102"/>
      <c r="Y118" s="102"/>
    </row>
    <row r="119" spans="1:25" x14ac:dyDescent="0.2">
      <c r="A119" s="225">
        <v>74</v>
      </c>
      <c r="B119" s="37"/>
      <c r="C119" s="10" t="s">
        <v>100</v>
      </c>
      <c r="D119" s="10"/>
      <c r="E119" s="19" t="s">
        <v>101</v>
      </c>
      <c r="F119" s="159" t="s">
        <v>34</v>
      </c>
      <c r="G119" s="303">
        <f t="shared" si="2"/>
        <v>7438.4165796875013</v>
      </c>
      <c r="H119" s="268"/>
      <c r="I119" s="492">
        <f>'KIPP Assumptions'!$B$110</f>
        <v>1.4500000000000001E-2</v>
      </c>
      <c r="J119" s="487"/>
      <c r="K119" s="487"/>
      <c r="L119" s="491"/>
      <c r="M119" s="487"/>
      <c r="N119" s="487"/>
      <c r="O119" s="487"/>
      <c r="P119" s="487"/>
      <c r="Q119" s="237"/>
      <c r="R119" s="237"/>
      <c r="S119" s="237"/>
      <c r="T119" s="237"/>
      <c r="U119" s="102"/>
      <c r="V119" s="102"/>
      <c r="W119" s="102"/>
      <c r="X119" s="102"/>
      <c r="Y119" s="102"/>
    </row>
    <row r="120" spans="1:25" x14ac:dyDescent="0.2">
      <c r="A120" s="225">
        <v>75</v>
      </c>
      <c r="B120" s="37"/>
      <c r="C120" s="10" t="s">
        <v>219</v>
      </c>
      <c r="D120" s="10"/>
      <c r="E120" s="19" t="s">
        <v>220</v>
      </c>
      <c r="F120" s="159">
        <v>1200</v>
      </c>
      <c r="G120" s="303">
        <f t="shared" si="2"/>
        <v>16482.036696630934</v>
      </c>
      <c r="H120" s="268"/>
      <c r="I120" s="492">
        <f>+'KIPP Assumptions'!$B$113</f>
        <v>3.21290868212155E-2</v>
      </c>
      <c r="J120" s="487"/>
      <c r="K120" s="487"/>
      <c r="L120" s="491"/>
      <c r="M120" s="487"/>
      <c r="N120" s="487"/>
      <c r="O120" s="487"/>
      <c r="P120" s="487"/>
      <c r="Q120" s="237"/>
      <c r="R120" s="237"/>
      <c r="S120" s="237"/>
      <c r="T120" s="237"/>
      <c r="U120" s="102"/>
      <c r="V120" s="102"/>
      <c r="W120" s="102"/>
      <c r="X120" s="102"/>
      <c r="Y120" s="102"/>
    </row>
    <row r="121" spans="1:25" x14ac:dyDescent="0.2">
      <c r="A121" s="225">
        <v>76</v>
      </c>
      <c r="B121" s="37"/>
      <c r="C121" s="10" t="s">
        <v>102</v>
      </c>
      <c r="D121" s="10"/>
      <c r="E121" s="19" t="s">
        <v>103</v>
      </c>
      <c r="F121" s="159" t="s">
        <v>34</v>
      </c>
      <c r="G121" s="303">
        <f t="shared" si="2"/>
        <v>512.99424687500004</v>
      </c>
      <c r="H121" s="268"/>
      <c r="I121" s="492">
        <f>+'KIPP Assumptions'!$B$112</f>
        <v>1E-3</v>
      </c>
      <c r="J121" s="487"/>
      <c r="K121" s="487"/>
      <c r="L121" s="491"/>
      <c r="M121" s="487"/>
      <c r="N121" s="487"/>
      <c r="O121" s="487"/>
      <c r="P121" s="487"/>
      <c r="Q121" s="237"/>
      <c r="R121" s="237"/>
      <c r="S121" s="237"/>
      <c r="T121" s="237"/>
      <c r="U121" s="102"/>
      <c r="V121" s="102"/>
      <c r="W121" s="102"/>
      <c r="X121" s="102"/>
      <c r="Y121" s="102"/>
    </row>
    <row r="122" spans="1:25" x14ac:dyDescent="0.2">
      <c r="A122" s="225">
        <v>77</v>
      </c>
      <c r="B122" s="37"/>
      <c r="C122" s="10" t="s">
        <v>104</v>
      </c>
      <c r="D122" s="10"/>
      <c r="E122" s="19" t="s">
        <v>105</v>
      </c>
      <c r="F122" s="159" t="s">
        <v>34</v>
      </c>
      <c r="G122" s="303"/>
      <c r="H122" s="268"/>
      <c r="I122" s="490"/>
      <c r="J122" s="487"/>
      <c r="K122" s="487"/>
      <c r="L122" s="491"/>
      <c r="M122" s="487"/>
      <c r="N122" s="487"/>
      <c r="O122" s="487"/>
      <c r="P122" s="487"/>
      <c r="Q122" s="237"/>
      <c r="R122" s="237"/>
      <c r="S122" s="237"/>
      <c r="T122" s="237"/>
      <c r="U122" s="102"/>
      <c r="V122" s="102"/>
      <c r="W122" s="102"/>
      <c r="X122" s="102"/>
      <c r="Y122" s="102"/>
    </row>
    <row r="123" spans="1:25" x14ac:dyDescent="0.2">
      <c r="A123" s="225">
        <v>78</v>
      </c>
      <c r="B123" s="37"/>
      <c r="C123" s="86" t="s">
        <v>283</v>
      </c>
      <c r="D123" s="10"/>
      <c r="E123" s="19"/>
      <c r="F123" s="159"/>
      <c r="G123" s="303"/>
      <c r="H123" s="268"/>
      <c r="I123" s="490"/>
      <c r="J123" s="487"/>
      <c r="K123" s="487"/>
      <c r="L123" s="491"/>
      <c r="M123" s="487"/>
      <c r="N123" s="487"/>
      <c r="O123" s="487"/>
      <c r="P123" s="487"/>
      <c r="Q123" s="237"/>
      <c r="R123" s="237"/>
      <c r="S123" s="237"/>
      <c r="T123" s="237"/>
      <c r="U123" s="102"/>
      <c r="V123" s="102"/>
      <c r="W123" s="102"/>
      <c r="X123" s="102"/>
      <c r="Y123" s="102"/>
    </row>
    <row r="124" spans="1:25" x14ac:dyDescent="0.2">
      <c r="A124" s="225">
        <v>79</v>
      </c>
      <c r="B124" s="37"/>
      <c r="C124" s="86"/>
      <c r="D124" s="10"/>
      <c r="E124" s="19"/>
      <c r="F124" s="159"/>
      <c r="G124" s="303"/>
      <c r="H124" s="268"/>
      <c r="I124" s="490"/>
      <c r="J124" s="487"/>
      <c r="K124" s="487"/>
      <c r="L124" s="491"/>
      <c r="M124" s="487"/>
      <c r="N124" s="487"/>
      <c r="O124" s="487"/>
      <c r="P124" s="487"/>
      <c r="Q124" s="237"/>
      <c r="R124" s="237"/>
      <c r="S124" s="237"/>
      <c r="T124" s="237"/>
      <c r="U124" s="102"/>
      <c r="V124" s="102"/>
      <c r="W124" s="102"/>
      <c r="X124" s="102"/>
      <c r="Y124" s="102"/>
    </row>
    <row r="125" spans="1:25" x14ac:dyDescent="0.2">
      <c r="A125" s="225">
        <v>80</v>
      </c>
      <c r="B125" s="37"/>
      <c r="C125" s="86"/>
      <c r="D125" s="10"/>
      <c r="E125" s="19"/>
      <c r="F125" s="159"/>
      <c r="G125" s="303"/>
      <c r="H125" s="268"/>
      <c r="I125" s="490"/>
      <c r="J125" s="487"/>
      <c r="K125" s="487"/>
      <c r="L125" s="491"/>
      <c r="M125" s="487"/>
      <c r="N125" s="487"/>
      <c r="O125" s="487"/>
      <c r="P125" s="487"/>
      <c r="Q125" s="237"/>
      <c r="R125" s="237"/>
      <c r="S125" s="237"/>
      <c r="T125" s="237"/>
      <c r="U125" s="102"/>
      <c r="V125" s="102"/>
      <c r="W125" s="102"/>
      <c r="X125" s="102"/>
      <c r="Y125" s="102"/>
    </row>
    <row r="126" spans="1:25" x14ac:dyDescent="0.2">
      <c r="A126" s="225">
        <v>81</v>
      </c>
      <c r="D126" s="14"/>
      <c r="E126" s="15"/>
      <c r="F126" s="167"/>
      <c r="G126" s="315"/>
      <c r="H126" s="283"/>
      <c r="I126" s="490"/>
      <c r="J126" s="487"/>
      <c r="K126" s="487"/>
      <c r="L126" s="491"/>
      <c r="M126" s="487"/>
      <c r="N126" s="487"/>
      <c r="O126" s="487"/>
      <c r="P126" s="487"/>
      <c r="Q126" s="237"/>
      <c r="R126" s="237"/>
      <c r="S126" s="237"/>
      <c r="T126" s="237"/>
      <c r="U126" s="102"/>
      <c r="V126" s="102"/>
      <c r="W126" s="102"/>
      <c r="X126" s="102"/>
      <c r="Y126" s="102"/>
    </row>
    <row r="127" spans="1:25" ht="15" x14ac:dyDescent="0.25">
      <c r="A127" s="226">
        <v>82</v>
      </c>
      <c r="B127" s="88" t="s">
        <v>7</v>
      </c>
      <c r="C127" s="52"/>
      <c r="D127" s="52"/>
      <c r="E127" s="50"/>
      <c r="F127" s="163"/>
      <c r="G127" s="306">
        <f>SUM(G104:G126)</f>
        <v>723952.2735039019</v>
      </c>
      <c r="H127" s="271"/>
      <c r="I127" s="490"/>
      <c r="J127" s="487"/>
      <c r="K127" s="487"/>
      <c r="L127" s="491"/>
      <c r="M127" s="487"/>
      <c r="N127" s="487"/>
      <c r="O127" s="487"/>
      <c r="P127" s="487"/>
      <c r="Q127" s="237"/>
      <c r="R127" s="237"/>
      <c r="S127" s="237"/>
      <c r="T127" s="237"/>
      <c r="U127" s="102"/>
      <c r="V127" s="102"/>
      <c r="W127" s="102"/>
      <c r="X127" s="102"/>
      <c r="Y127" s="102"/>
    </row>
    <row r="128" spans="1:25" x14ac:dyDescent="0.2">
      <c r="A128" s="225"/>
      <c r="D128" s="14"/>
      <c r="E128" s="15"/>
      <c r="F128" s="167"/>
      <c r="G128" s="315"/>
      <c r="H128" s="283"/>
      <c r="I128" s="490"/>
      <c r="J128" s="487"/>
      <c r="K128" s="487"/>
      <c r="L128" s="491"/>
      <c r="M128" s="487"/>
      <c r="N128" s="487"/>
      <c r="O128" s="487"/>
      <c r="P128" s="487"/>
      <c r="Q128" s="237"/>
      <c r="R128" s="237"/>
      <c r="S128" s="237"/>
      <c r="T128" s="237"/>
      <c r="U128" s="102"/>
      <c r="V128" s="102"/>
      <c r="W128" s="102"/>
      <c r="X128" s="102"/>
      <c r="Y128" s="102"/>
    </row>
    <row r="129" spans="1:25" x14ac:dyDescent="0.2">
      <c r="A129" s="223"/>
      <c r="B129" s="112" t="s">
        <v>276</v>
      </c>
      <c r="C129" s="113"/>
      <c r="D129" s="114"/>
      <c r="E129" s="62"/>
      <c r="F129" s="158"/>
      <c r="G129" s="302"/>
      <c r="H129" s="267"/>
      <c r="I129" s="490"/>
      <c r="J129" s="487"/>
      <c r="K129" s="487"/>
      <c r="L129" s="491"/>
      <c r="M129" s="487"/>
      <c r="N129" s="487"/>
      <c r="O129" s="487"/>
      <c r="P129" s="487"/>
      <c r="Q129" s="237"/>
      <c r="R129" s="237"/>
      <c r="S129" s="237"/>
      <c r="T129" s="237"/>
      <c r="U129" s="102"/>
      <c r="V129" s="102"/>
      <c r="W129" s="102"/>
      <c r="X129" s="102"/>
      <c r="Y129" s="102"/>
    </row>
    <row r="130" spans="1:25" s="5" customFormat="1" ht="14.25" customHeight="1" x14ac:dyDescent="0.25">
      <c r="A130" s="228"/>
      <c r="B130" s="90" t="s">
        <v>275</v>
      </c>
      <c r="C130" s="111"/>
      <c r="D130" s="111"/>
      <c r="E130" s="78"/>
      <c r="F130" s="170"/>
      <c r="G130" s="318"/>
      <c r="H130" s="286"/>
      <c r="I130" s="490"/>
      <c r="J130" s="489"/>
      <c r="K130" s="489"/>
      <c r="L130" s="491"/>
      <c r="M130" s="489"/>
      <c r="N130" s="489"/>
      <c r="O130" s="489"/>
      <c r="P130" s="489"/>
      <c r="Q130" s="244"/>
      <c r="R130" s="244"/>
      <c r="S130" s="244"/>
      <c r="T130" s="244"/>
      <c r="U130" s="240"/>
      <c r="V130" s="240"/>
      <c r="W130" s="240"/>
      <c r="X130" s="240"/>
      <c r="Y130" s="240"/>
    </row>
    <row r="131" spans="1:25" s="5" customFormat="1" ht="13.5" customHeight="1" x14ac:dyDescent="0.25">
      <c r="A131" s="225"/>
      <c r="B131" s="80"/>
      <c r="C131" s="10" t="s">
        <v>76</v>
      </c>
      <c r="D131" s="21"/>
      <c r="E131" s="62"/>
      <c r="F131" s="158"/>
      <c r="G131" s="302"/>
      <c r="H131" s="267"/>
      <c r="I131" s="490"/>
      <c r="J131" s="489"/>
      <c r="K131" s="489"/>
      <c r="L131" s="491"/>
      <c r="M131" s="489"/>
      <c r="N131" s="489"/>
      <c r="O131" s="489"/>
      <c r="P131" s="489"/>
      <c r="Q131" s="244"/>
      <c r="R131" s="244"/>
      <c r="S131" s="244"/>
      <c r="T131" s="244"/>
      <c r="U131" s="240"/>
      <c r="V131" s="240"/>
      <c r="W131" s="240"/>
      <c r="X131" s="240"/>
      <c r="Y131" s="240"/>
    </row>
    <row r="132" spans="1:25" x14ac:dyDescent="0.2">
      <c r="A132" s="225">
        <v>83</v>
      </c>
      <c r="B132" s="37"/>
      <c r="C132" s="10"/>
      <c r="D132" s="10" t="s">
        <v>117</v>
      </c>
      <c r="E132" s="19">
        <v>112</v>
      </c>
      <c r="F132" s="159" t="s">
        <v>221</v>
      </c>
      <c r="G132" s="303">
        <f>+I132*J132</f>
        <v>209131.86250000002</v>
      </c>
      <c r="H132" s="268" t="s">
        <v>517</v>
      </c>
      <c r="I132" s="490">
        <f>+'KIPP Assumptions'!D$85</f>
        <v>4</v>
      </c>
      <c r="J132" s="314">
        <f>+'Yr 2 Operating Statement of Act'!J132*(1+'Operating Statement of Act'!$M$79)</f>
        <v>52282.965625000004</v>
      </c>
      <c r="K132" s="487"/>
      <c r="L132" s="491"/>
      <c r="M132" s="487"/>
      <c r="N132" s="487"/>
      <c r="O132" s="487"/>
      <c r="P132" s="487"/>
      <c r="Q132" s="237"/>
      <c r="R132" s="237"/>
      <c r="S132" s="237"/>
      <c r="T132" s="237"/>
      <c r="U132" s="102"/>
      <c r="V132" s="102"/>
      <c r="W132" s="102"/>
      <c r="X132" s="102"/>
      <c r="Y132" s="102"/>
    </row>
    <row r="133" spans="1:25" x14ac:dyDescent="0.2">
      <c r="A133" s="225">
        <v>84</v>
      </c>
      <c r="B133" s="37"/>
      <c r="C133" s="10"/>
      <c r="D133" s="10" t="s">
        <v>78</v>
      </c>
      <c r="E133" s="19">
        <v>115</v>
      </c>
      <c r="F133" s="159" t="s">
        <v>221</v>
      </c>
      <c r="G133" s="303"/>
      <c r="H133" s="268"/>
      <c r="I133" s="490"/>
      <c r="J133" s="487"/>
      <c r="K133" s="487"/>
      <c r="L133" s="491"/>
      <c r="M133" s="487"/>
      <c r="N133" s="487"/>
      <c r="O133" s="487"/>
      <c r="P133" s="487"/>
      <c r="Q133" s="237"/>
      <c r="R133" s="237"/>
      <c r="S133" s="237"/>
      <c r="T133" s="237"/>
      <c r="U133" s="102"/>
      <c r="V133" s="102"/>
      <c r="W133" s="102"/>
      <c r="X133" s="102"/>
      <c r="Y133" s="102"/>
    </row>
    <row r="134" spans="1:25" x14ac:dyDescent="0.2">
      <c r="A134" s="225">
        <v>85</v>
      </c>
      <c r="B134" s="37"/>
      <c r="C134" s="10"/>
      <c r="D134" s="10" t="s">
        <v>81</v>
      </c>
      <c r="E134" s="19">
        <v>123</v>
      </c>
      <c r="F134" s="159" t="s">
        <v>221</v>
      </c>
      <c r="G134" s="303"/>
      <c r="H134" s="268"/>
      <c r="I134" s="490"/>
      <c r="J134" s="487"/>
      <c r="K134" s="487"/>
      <c r="L134" s="491"/>
      <c r="M134" s="487"/>
      <c r="N134" s="487"/>
      <c r="O134" s="487"/>
      <c r="P134" s="487"/>
      <c r="Q134" s="237"/>
      <c r="R134" s="237"/>
      <c r="S134" s="237"/>
      <c r="T134" s="237"/>
      <c r="U134" s="102"/>
      <c r="V134" s="102"/>
      <c r="W134" s="102"/>
      <c r="X134" s="102"/>
      <c r="Y134" s="102"/>
    </row>
    <row r="135" spans="1:25" x14ac:dyDescent="0.2">
      <c r="A135" s="225">
        <v>86</v>
      </c>
      <c r="B135" s="37"/>
      <c r="C135" s="10" t="s">
        <v>83</v>
      </c>
      <c r="D135" s="10"/>
      <c r="E135" s="19" t="s">
        <v>84</v>
      </c>
      <c r="F135" s="159" t="s">
        <v>221</v>
      </c>
      <c r="G135" s="303">
        <v>0</v>
      </c>
      <c r="H135" s="268" t="s">
        <v>445</v>
      </c>
      <c r="I135" s="490"/>
      <c r="J135" s="491"/>
      <c r="K135" s="487"/>
      <c r="L135" s="491"/>
      <c r="M135" s="487"/>
      <c r="N135" s="487"/>
      <c r="O135" s="487"/>
      <c r="P135" s="487"/>
      <c r="Q135" s="237"/>
      <c r="R135" s="237"/>
      <c r="S135" s="237"/>
      <c r="T135" s="237"/>
      <c r="U135" s="102"/>
      <c r="V135" s="102"/>
      <c r="W135" s="102"/>
      <c r="X135" s="102"/>
      <c r="Y135" s="102"/>
    </row>
    <row r="136" spans="1:25" x14ac:dyDescent="0.2">
      <c r="A136" s="225">
        <v>87</v>
      </c>
      <c r="B136" s="37"/>
      <c r="C136" s="10" t="s">
        <v>85</v>
      </c>
      <c r="D136" s="10"/>
      <c r="E136" s="19">
        <v>430</v>
      </c>
      <c r="F136" s="159" t="s">
        <v>221</v>
      </c>
      <c r="G136" s="303"/>
      <c r="H136" s="268"/>
      <c r="I136" s="490"/>
      <c r="J136" s="487"/>
      <c r="K136" s="487"/>
      <c r="L136" s="491"/>
      <c r="M136" s="487"/>
      <c r="N136" s="487"/>
      <c r="O136" s="487"/>
      <c r="P136" s="487"/>
      <c r="Q136" s="237"/>
      <c r="R136" s="237"/>
      <c r="S136" s="237"/>
      <c r="T136" s="237"/>
      <c r="U136" s="102"/>
      <c r="V136" s="102"/>
      <c r="W136" s="102"/>
      <c r="X136" s="102"/>
      <c r="Y136" s="102"/>
    </row>
    <row r="137" spans="1:25" x14ac:dyDescent="0.2">
      <c r="A137" s="225">
        <v>88</v>
      </c>
      <c r="B137" s="37"/>
      <c r="C137" s="10" t="s">
        <v>87</v>
      </c>
      <c r="D137" s="10"/>
      <c r="E137" s="19" t="s">
        <v>88</v>
      </c>
      <c r="F137" s="159" t="s">
        <v>221</v>
      </c>
      <c r="G137" s="303"/>
      <c r="H137" s="268"/>
      <c r="I137" s="490"/>
      <c r="J137" s="487"/>
      <c r="K137" s="487"/>
      <c r="L137" s="491"/>
      <c r="M137" s="487"/>
      <c r="N137" s="487"/>
      <c r="O137" s="487"/>
      <c r="P137" s="487"/>
      <c r="Q137" s="237"/>
      <c r="R137" s="237"/>
      <c r="S137" s="237"/>
      <c r="T137" s="237"/>
      <c r="U137" s="102"/>
      <c r="V137" s="102"/>
      <c r="W137" s="102"/>
      <c r="X137" s="102"/>
      <c r="Y137" s="102"/>
    </row>
    <row r="138" spans="1:25" x14ac:dyDescent="0.2">
      <c r="A138" s="225"/>
      <c r="B138" s="37"/>
      <c r="C138" s="10" t="s">
        <v>109</v>
      </c>
      <c r="D138" s="10"/>
      <c r="E138" s="62"/>
      <c r="F138" s="158"/>
      <c r="G138" s="302"/>
      <c r="H138" s="267"/>
      <c r="I138" s="490"/>
      <c r="J138" s="487"/>
      <c r="K138" s="487"/>
      <c r="L138" s="491"/>
      <c r="M138" s="487"/>
      <c r="N138" s="487"/>
      <c r="O138" s="487"/>
      <c r="P138" s="487"/>
      <c r="Q138" s="237"/>
      <c r="R138" s="237"/>
      <c r="S138" s="237"/>
      <c r="T138" s="237"/>
      <c r="U138" s="102"/>
      <c r="V138" s="102"/>
      <c r="W138" s="102"/>
      <c r="X138" s="102"/>
      <c r="Y138" s="102"/>
    </row>
    <row r="139" spans="1:25" x14ac:dyDescent="0.2">
      <c r="A139" s="225">
        <v>89</v>
      </c>
      <c r="B139" s="37"/>
      <c r="C139" s="10"/>
      <c r="D139" s="10" t="s">
        <v>110</v>
      </c>
      <c r="E139" s="19" t="s">
        <v>90</v>
      </c>
      <c r="F139" s="159" t="s">
        <v>221</v>
      </c>
      <c r="G139" s="303">
        <v>74187.232258064527</v>
      </c>
      <c r="H139" s="268" t="s">
        <v>432</v>
      </c>
      <c r="I139" s="490"/>
      <c r="J139" s="491"/>
      <c r="K139" s="487"/>
      <c r="L139" s="491"/>
      <c r="M139" s="487"/>
      <c r="N139" s="487"/>
      <c r="O139" s="487"/>
      <c r="P139" s="487"/>
      <c r="Q139" s="237"/>
      <c r="R139" s="237"/>
      <c r="S139" s="237"/>
      <c r="T139" s="237"/>
      <c r="U139" s="102"/>
      <c r="V139" s="102"/>
      <c r="W139" s="102"/>
      <c r="X139" s="102"/>
      <c r="Y139" s="102"/>
    </row>
    <row r="140" spans="1:25" x14ac:dyDescent="0.2">
      <c r="A140" s="225">
        <v>90</v>
      </c>
      <c r="B140" s="37"/>
      <c r="C140" s="10"/>
      <c r="D140" s="10" t="s">
        <v>91</v>
      </c>
      <c r="E140" s="19" t="s">
        <v>92</v>
      </c>
      <c r="F140" s="159" t="s">
        <v>221</v>
      </c>
      <c r="G140" s="303">
        <v>4933.5096774193553</v>
      </c>
      <c r="H140" s="268" t="s">
        <v>469</v>
      </c>
      <c r="I140" s="490"/>
      <c r="J140" s="491"/>
      <c r="K140" s="487"/>
      <c r="L140" s="491"/>
      <c r="M140" s="487"/>
      <c r="N140" s="487"/>
      <c r="O140" s="487"/>
      <c r="P140" s="487"/>
      <c r="Q140" s="237"/>
      <c r="R140" s="237"/>
      <c r="S140" s="237"/>
      <c r="T140" s="237"/>
      <c r="U140" s="102"/>
      <c r="V140" s="102"/>
      <c r="W140" s="102"/>
      <c r="X140" s="102"/>
      <c r="Y140" s="102"/>
    </row>
    <row r="141" spans="1:25" x14ac:dyDescent="0.2">
      <c r="A141" s="225">
        <v>91</v>
      </c>
      <c r="B141" s="37"/>
      <c r="C141" s="10" t="s">
        <v>242</v>
      </c>
      <c r="D141" s="10"/>
      <c r="E141" s="19" t="s">
        <v>243</v>
      </c>
      <c r="F141" s="159" t="s">
        <v>221</v>
      </c>
      <c r="G141" s="303"/>
      <c r="H141" s="268"/>
      <c r="I141" s="490"/>
      <c r="J141" s="487"/>
      <c r="K141" s="487"/>
      <c r="L141" s="491"/>
      <c r="M141" s="487"/>
      <c r="N141" s="487"/>
      <c r="O141" s="487"/>
      <c r="P141" s="487"/>
      <c r="Q141" s="237"/>
      <c r="R141" s="237"/>
      <c r="S141" s="237"/>
      <c r="T141" s="237"/>
      <c r="U141" s="102"/>
      <c r="V141" s="102"/>
      <c r="W141" s="102"/>
      <c r="X141" s="102"/>
      <c r="Y141" s="102"/>
    </row>
    <row r="142" spans="1:25" x14ac:dyDescent="0.2">
      <c r="A142" s="225">
        <v>92</v>
      </c>
      <c r="B142" s="37"/>
      <c r="C142" s="10" t="s">
        <v>95</v>
      </c>
      <c r="D142" s="10"/>
      <c r="E142" s="19" t="s">
        <v>96</v>
      </c>
      <c r="F142" s="159" t="s">
        <v>221</v>
      </c>
      <c r="G142" s="303">
        <v>2517.0967741935483</v>
      </c>
      <c r="H142" s="268" t="s">
        <v>436</v>
      </c>
      <c r="I142" s="490"/>
      <c r="J142" s="491"/>
      <c r="K142" s="487"/>
      <c r="L142" s="491"/>
      <c r="M142" s="487"/>
      <c r="N142" s="487"/>
      <c r="O142" s="487"/>
      <c r="P142" s="487"/>
      <c r="Q142" s="237"/>
      <c r="R142" s="237"/>
      <c r="S142" s="237"/>
      <c r="T142" s="237"/>
      <c r="U142" s="102"/>
      <c r="V142" s="102"/>
      <c r="W142" s="102"/>
      <c r="X142" s="102"/>
      <c r="Y142" s="102"/>
    </row>
    <row r="143" spans="1:25" x14ac:dyDescent="0.2">
      <c r="A143" s="225">
        <v>93</v>
      </c>
      <c r="B143" s="37"/>
      <c r="C143" s="10" t="s">
        <v>295</v>
      </c>
      <c r="D143" s="10"/>
      <c r="E143" s="19" t="s">
        <v>97</v>
      </c>
      <c r="F143" s="159" t="s">
        <v>221</v>
      </c>
      <c r="G143" s="303">
        <f>+SUM(G$132:G$134)*$I143</f>
        <v>14800.959172957153</v>
      </c>
      <c r="H143" s="268"/>
      <c r="I143" s="492">
        <f>'KIPP Assumptions'!$B$105+'KIPP Assumptions'!$B$106+'KIPP Assumptions'!$B$107+'KIPP Assumptions'!$B$108+'KIPP Assumptions'!$B$109</f>
        <v>7.0773334087038758E-2</v>
      </c>
      <c r="J143" s="487"/>
      <c r="K143" s="487"/>
      <c r="L143" s="491"/>
      <c r="M143" s="487"/>
      <c r="N143" s="487"/>
      <c r="O143" s="487"/>
      <c r="P143" s="487"/>
      <c r="Q143" s="237"/>
      <c r="R143" s="237"/>
      <c r="S143" s="237"/>
      <c r="T143" s="237"/>
      <c r="U143" s="102"/>
      <c r="V143" s="102"/>
      <c r="W143" s="102"/>
      <c r="X143" s="102"/>
      <c r="Y143" s="102"/>
    </row>
    <row r="144" spans="1:25" x14ac:dyDescent="0.2">
      <c r="A144" s="225">
        <v>94</v>
      </c>
      <c r="B144" s="37"/>
      <c r="C144" s="10" t="s">
        <v>98</v>
      </c>
      <c r="D144" s="10"/>
      <c r="E144" s="19" t="s">
        <v>99</v>
      </c>
      <c r="F144" s="159" t="s">
        <v>221</v>
      </c>
      <c r="G144" s="303">
        <f t="shared" ref="G144:G147" si="3">+SUM(G$132:G$134)*$I144</f>
        <v>12966.175475000002</v>
      </c>
      <c r="H144" s="268"/>
      <c r="I144" s="492">
        <f>'KIPP Assumptions'!$B$111</f>
        <v>6.2E-2</v>
      </c>
      <c r="J144" s="487"/>
      <c r="K144" s="487"/>
      <c r="L144" s="491"/>
      <c r="M144" s="487"/>
      <c r="N144" s="487"/>
      <c r="O144" s="487"/>
      <c r="P144" s="487"/>
      <c r="Q144" s="237"/>
      <c r="R144" s="237"/>
      <c r="S144" s="237"/>
      <c r="T144" s="237"/>
      <c r="U144" s="102"/>
      <c r="V144" s="102"/>
      <c r="W144" s="102"/>
      <c r="X144" s="102"/>
      <c r="Y144" s="102"/>
    </row>
    <row r="145" spans="1:25" x14ac:dyDescent="0.2">
      <c r="A145" s="225">
        <v>95</v>
      </c>
      <c r="B145" s="37"/>
      <c r="C145" s="10" t="s">
        <v>100</v>
      </c>
      <c r="D145" s="10"/>
      <c r="E145" s="19" t="s">
        <v>101</v>
      </c>
      <c r="F145" s="159" t="s">
        <v>221</v>
      </c>
      <c r="G145" s="303">
        <f t="shared" si="3"/>
        <v>3032.4120062500006</v>
      </c>
      <c r="H145" s="268"/>
      <c r="I145" s="492">
        <f>'KIPP Assumptions'!$B$110</f>
        <v>1.4500000000000001E-2</v>
      </c>
      <c r="J145" s="487"/>
      <c r="K145" s="487"/>
      <c r="L145" s="491"/>
      <c r="M145" s="487"/>
      <c r="N145" s="487"/>
      <c r="O145" s="487"/>
      <c r="P145" s="487"/>
      <c r="Q145" s="237"/>
      <c r="R145" s="237"/>
      <c r="S145" s="237"/>
      <c r="T145" s="237"/>
      <c r="U145" s="102"/>
      <c r="V145" s="102"/>
      <c r="W145" s="102"/>
      <c r="X145" s="102"/>
      <c r="Y145" s="102"/>
    </row>
    <row r="146" spans="1:25" x14ac:dyDescent="0.2">
      <c r="A146" s="225">
        <v>96</v>
      </c>
      <c r="B146" s="37"/>
      <c r="C146" s="10" t="s">
        <v>219</v>
      </c>
      <c r="D146" s="10"/>
      <c r="E146" s="19" t="s">
        <v>220</v>
      </c>
      <c r="F146" s="159" t="s">
        <v>221</v>
      </c>
      <c r="G146" s="303">
        <f t="shared" si="3"/>
        <v>6719.2157673450029</v>
      </c>
      <c r="H146" s="268"/>
      <c r="I146" s="492">
        <f>+'KIPP Assumptions'!$B$113</f>
        <v>3.21290868212155E-2</v>
      </c>
      <c r="J146" s="487"/>
      <c r="K146" s="487"/>
      <c r="L146" s="491"/>
      <c r="M146" s="487"/>
      <c r="N146" s="487"/>
      <c r="O146" s="487"/>
      <c r="P146" s="487"/>
      <c r="Q146" s="237"/>
      <c r="R146" s="237"/>
      <c r="S146" s="237"/>
      <c r="T146" s="237"/>
      <c r="U146" s="102"/>
      <c r="V146" s="102"/>
      <c r="W146" s="102"/>
      <c r="X146" s="102"/>
      <c r="Y146" s="102"/>
    </row>
    <row r="147" spans="1:25" x14ac:dyDescent="0.2">
      <c r="A147" s="225">
        <v>97</v>
      </c>
      <c r="B147" s="37"/>
      <c r="C147" s="10" t="s">
        <v>102</v>
      </c>
      <c r="D147" s="10"/>
      <c r="E147" s="19" t="s">
        <v>103</v>
      </c>
      <c r="F147" s="159" t="s">
        <v>221</v>
      </c>
      <c r="G147" s="303">
        <f t="shared" si="3"/>
        <v>209.13186250000001</v>
      </c>
      <c r="H147" s="268"/>
      <c r="I147" s="492">
        <f>+'KIPP Assumptions'!$B$112</f>
        <v>1E-3</v>
      </c>
      <c r="J147" s="487"/>
      <c r="K147" s="487"/>
      <c r="L147" s="491"/>
      <c r="M147" s="487"/>
      <c r="N147" s="487"/>
      <c r="O147" s="487"/>
      <c r="P147" s="487"/>
      <c r="Q147" s="237"/>
      <c r="R147" s="237"/>
      <c r="S147" s="237"/>
      <c r="T147" s="237"/>
      <c r="U147" s="102"/>
      <c r="V147" s="102"/>
      <c r="W147" s="102"/>
      <c r="X147" s="102"/>
      <c r="Y147" s="102"/>
    </row>
    <row r="148" spans="1:25" x14ac:dyDescent="0.2">
      <c r="A148" s="225">
        <v>98</v>
      </c>
      <c r="B148" s="37"/>
      <c r="C148" s="10" t="s">
        <v>104</v>
      </c>
      <c r="D148" s="10"/>
      <c r="E148" s="19" t="s">
        <v>105</v>
      </c>
      <c r="F148" s="159" t="s">
        <v>221</v>
      </c>
      <c r="G148" s="303"/>
      <c r="H148" s="268"/>
      <c r="I148" s="490"/>
      <c r="J148" s="487"/>
      <c r="K148" s="487"/>
      <c r="L148" s="491"/>
      <c r="M148" s="487"/>
      <c r="N148" s="487"/>
      <c r="O148" s="487"/>
      <c r="P148" s="487"/>
      <c r="Q148" s="237"/>
      <c r="R148" s="237"/>
      <c r="S148" s="237"/>
      <c r="T148" s="237"/>
      <c r="U148" s="102"/>
      <c r="V148" s="102"/>
      <c r="W148" s="102"/>
      <c r="X148" s="102"/>
      <c r="Y148" s="102"/>
    </row>
    <row r="149" spans="1:25" x14ac:dyDescent="0.2">
      <c r="A149" s="225">
        <v>99</v>
      </c>
      <c r="B149" s="37"/>
      <c r="C149" s="86" t="s">
        <v>283</v>
      </c>
      <c r="D149" s="10"/>
      <c r="E149" s="19"/>
      <c r="F149" s="159"/>
      <c r="G149" s="303"/>
      <c r="H149" s="268"/>
      <c r="I149" s="490"/>
      <c r="J149" s="487"/>
      <c r="K149" s="487"/>
      <c r="L149" s="491"/>
      <c r="M149" s="487"/>
      <c r="N149" s="487"/>
      <c r="O149" s="487"/>
      <c r="P149" s="487"/>
      <c r="Q149" s="237"/>
      <c r="R149" s="237"/>
      <c r="S149" s="237"/>
      <c r="T149" s="237"/>
      <c r="U149" s="102"/>
      <c r="V149" s="102"/>
      <c r="W149" s="102"/>
      <c r="X149" s="102"/>
      <c r="Y149" s="102"/>
    </row>
    <row r="150" spans="1:25" x14ac:dyDescent="0.2">
      <c r="A150" s="225">
        <v>100</v>
      </c>
      <c r="B150" s="37"/>
      <c r="C150" s="86"/>
      <c r="D150" s="10"/>
      <c r="E150" s="19"/>
      <c r="F150" s="159"/>
      <c r="G150" s="303"/>
      <c r="H150" s="268"/>
      <c r="I150" s="490"/>
      <c r="J150" s="487"/>
      <c r="K150" s="487"/>
      <c r="L150" s="491"/>
      <c r="M150" s="487"/>
      <c r="N150" s="487"/>
      <c r="O150" s="487"/>
      <c r="P150" s="487"/>
      <c r="Q150" s="237"/>
      <c r="R150" s="237"/>
      <c r="S150" s="237"/>
      <c r="T150" s="237"/>
      <c r="U150" s="102"/>
      <c r="V150" s="102"/>
      <c r="W150" s="102"/>
      <c r="X150" s="102"/>
      <c r="Y150" s="102"/>
    </row>
    <row r="151" spans="1:25" x14ac:dyDescent="0.2">
      <c r="A151" s="225">
        <v>101</v>
      </c>
      <c r="B151" s="37"/>
      <c r="C151" s="86"/>
      <c r="D151" s="10"/>
      <c r="E151" s="19"/>
      <c r="F151" s="159"/>
      <c r="G151" s="303"/>
      <c r="H151" s="268"/>
      <c r="I151" s="490"/>
      <c r="J151" s="487"/>
      <c r="K151" s="487"/>
      <c r="L151" s="491"/>
      <c r="M151" s="487"/>
      <c r="N151" s="487"/>
      <c r="O151" s="487"/>
      <c r="P151" s="487"/>
      <c r="Q151" s="237"/>
      <c r="R151" s="237"/>
      <c r="S151" s="237"/>
      <c r="T151" s="237"/>
      <c r="U151" s="102"/>
      <c r="V151" s="102"/>
      <c r="W151" s="102"/>
      <c r="X151" s="102"/>
      <c r="Y151" s="102"/>
    </row>
    <row r="152" spans="1:25" ht="15.75" customHeight="1" x14ac:dyDescent="0.2">
      <c r="A152" s="225">
        <v>102</v>
      </c>
      <c r="B152" s="84"/>
      <c r="D152" s="14"/>
      <c r="E152" s="15"/>
      <c r="F152" s="167"/>
      <c r="G152" s="315"/>
      <c r="H152" s="283"/>
      <c r="I152" s="490"/>
      <c r="J152" s="487"/>
      <c r="K152" s="487"/>
      <c r="L152" s="491"/>
      <c r="M152" s="487"/>
      <c r="N152" s="487"/>
      <c r="O152" s="487"/>
      <c r="P152" s="487"/>
      <c r="Q152" s="237"/>
      <c r="R152" s="237"/>
      <c r="S152" s="237"/>
      <c r="T152" s="237"/>
      <c r="U152" s="102"/>
      <c r="V152" s="102"/>
      <c r="W152" s="102"/>
      <c r="X152" s="102"/>
      <c r="Y152" s="102"/>
    </row>
    <row r="153" spans="1:25" ht="15.75" thickBot="1" x14ac:dyDescent="0.3">
      <c r="A153" s="226">
        <v>103</v>
      </c>
      <c r="B153" s="88" t="s">
        <v>19</v>
      </c>
      <c r="C153" s="52"/>
      <c r="D153" s="52"/>
      <c r="E153" s="50"/>
      <c r="F153" s="163"/>
      <c r="G153" s="306">
        <f>SUM(G131:G152)</f>
        <v>328497.59549372963</v>
      </c>
      <c r="H153" s="271"/>
      <c r="I153" s="490"/>
      <c r="J153" s="487"/>
      <c r="K153" s="487"/>
      <c r="L153" s="491"/>
      <c r="M153" s="487"/>
      <c r="N153" s="487"/>
      <c r="O153" s="487"/>
      <c r="P153" s="487"/>
      <c r="Q153" s="237"/>
      <c r="R153" s="237"/>
      <c r="S153" s="237"/>
      <c r="T153" s="237"/>
      <c r="U153" s="102"/>
      <c r="V153" s="102"/>
      <c r="W153" s="102"/>
      <c r="X153" s="102"/>
      <c r="Y153" s="102"/>
    </row>
    <row r="154" spans="1:25" ht="15.75" thickBot="1" x14ac:dyDescent="0.3">
      <c r="A154" s="229">
        <v>104</v>
      </c>
      <c r="B154" s="76" t="s">
        <v>24</v>
      </c>
      <c r="C154" s="77"/>
      <c r="D154" s="77"/>
      <c r="E154" s="46"/>
      <c r="F154" s="166"/>
      <c r="G154" s="312">
        <f>+G100+G127+G153</f>
        <v>2637701.0682851602</v>
      </c>
      <c r="H154" s="287"/>
      <c r="I154" s="490"/>
      <c r="J154" s="487"/>
      <c r="K154" s="487"/>
      <c r="L154" s="491"/>
      <c r="M154" s="487"/>
      <c r="N154" s="487"/>
      <c r="O154" s="487"/>
      <c r="P154" s="487"/>
      <c r="Q154" s="237"/>
      <c r="R154" s="237"/>
      <c r="S154" s="237"/>
      <c r="T154" s="237"/>
      <c r="U154" s="102"/>
      <c r="V154" s="102"/>
      <c r="W154" s="102"/>
      <c r="X154" s="102"/>
      <c r="Y154" s="102"/>
    </row>
    <row r="155" spans="1:25" ht="4.5" customHeight="1" x14ac:dyDescent="0.2">
      <c r="A155" s="230"/>
      <c r="B155" s="36"/>
      <c r="C155" s="13"/>
      <c r="D155" s="13"/>
      <c r="E155" s="17"/>
      <c r="F155" s="171"/>
      <c r="G155" s="319"/>
      <c r="H155" s="288"/>
      <c r="I155" s="490"/>
      <c r="J155" s="487"/>
      <c r="K155" s="487"/>
      <c r="L155" s="491"/>
      <c r="M155" s="487"/>
      <c r="N155" s="487"/>
      <c r="O155" s="487"/>
      <c r="P155" s="487"/>
      <c r="Q155" s="237"/>
      <c r="R155" s="237"/>
      <c r="S155" s="237"/>
      <c r="T155" s="237"/>
      <c r="U155" s="102"/>
      <c r="V155" s="102"/>
      <c r="W155" s="102"/>
      <c r="X155" s="102"/>
      <c r="Y155" s="102"/>
    </row>
    <row r="156" spans="1:25" s="5" customFormat="1" ht="15" x14ac:dyDescent="0.25">
      <c r="A156" s="225"/>
      <c r="B156" s="53" t="s">
        <v>22</v>
      </c>
      <c r="C156" s="54"/>
      <c r="D156" s="54"/>
      <c r="E156" s="62"/>
      <c r="F156" s="158"/>
      <c r="G156" s="302"/>
      <c r="H156" s="267"/>
      <c r="I156" s="490"/>
      <c r="J156" s="487"/>
      <c r="K156" s="487"/>
      <c r="L156" s="491"/>
      <c r="M156" s="487"/>
      <c r="N156" s="487"/>
      <c r="O156" s="487"/>
      <c r="P156" s="487"/>
      <c r="Q156" s="237"/>
      <c r="R156" s="237"/>
      <c r="S156" s="237"/>
      <c r="T156" s="237"/>
      <c r="U156" s="240"/>
      <c r="V156" s="240"/>
      <c r="W156" s="240"/>
      <c r="X156" s="240"/>
      <c r="Y156" s="240"/>
    </row>
    <row r="157" spans="1:25" s="5" customFormat="1" ht="15" x14ac:dyDescent="0.25">
      <c r="A157" s="225"/>
      <c r="B157" s="89" t="s">
        <v>23</v>
      </c>
      <c r="C157" s="54"/>
      <c r="D157" s="54"/>
      <c r="E157" s="62"/>
      <c r="F157" s="158"/>
      <c r="G157" s="302"/>
      <c r="H157" s="267"/>
      <c r="I157" s="490"/>
      <c r="J157" s="487"/>
      <c r="K157" s="487"/>
      <c r="L157" s="491"/>
      <c r="M157" s="487"/>
      <c r="N157" s="487"/>
      <c r="O157" s="487"/>
      <c r="P157" s="487"/>
      <c r="Q157" s="237"/>
      <c r="R157" s="237"/>
      <c r="S157" s="237"/>
      <c r="T157" s="237"/>
      <c r="U157" s="240"/>
      <c r="V157" s="240"/>
      <c r="W157" s="240"/>
      <c r="X157" s="240"/>
      <c r="Y157" s="240"/>
    </row>
    <row r="158" spans="1:25" x14ac:dyDescent="0.2">
      <c r="A158" s="225">
        <v>105</v>
      </c>
      <c r="B158" s="37"/>
      <c r="C158" s="10" t="s">
        <v>281</v>
      </c>
      <c r="D158" s="10"/>
      <c r="E158" s="19" t="s">
        <v>221</v>
      </c>
      <c r="F158" s="159" t="s">
        <v>240</v>
      </c>
      <c r="G158" s="303">
        <f>+I158*J158</f>
        <v>56941.843750000015</v>
      </c>
      <c r="H158" s="268" t="s">
        <v>517</v>
      </c>
      <c r="I158" s="493">
        <f>+'KIPP Assumptions'!D$82</f>
        <v>1</v>
      </c>
      <c r="J158" s="314">
        <f>+'Yr 2 Operating Statement of Act'!J158*(1+'Operating Statement of Act'!$M$79)</f>
        <v>56941.843750000015</v>
      </c>
      <c r="K158" s="487"/>
      <c r="L158" s="491"/>
      <c r="M158" s="487"/>
      <c r="N158" s="487"/>
      <c r="O158" s="487"/>
      <c r="P158" s="487"/>
      <c r="Q158" s="237"/>
      <c r="R158" s="237"/>
      <c r="S158" s="237"/>
      <c r="T158" s="237"/>
      <c r="U158" s="102"/>
      <c r="V158" s="102"/>
      <c r="W158" s="102"/>
      <c r="X158" s="102"/>
      <c r="Y158" s="102"/>
    </row>
    <row r="159" spans="1:25" x14ac:dyDescent="0.2">
      <c r="A159" s="225">
        <v>106</v>
      </c>
      <c r="B159" s="37"/>
      <c r="C159" s="10" t="s">
        <v>8</v>
      </c>
      <c r="D159" s="10"/>
      <c r="E159" s="19" t="s">
        <v>221</v>
      </c>
      <c r="F159" s="159" t="s">
        <v>240</v>
      </c>
      <c r="G159" s="303">
        <f>+I159*J159</f>
        <v>57977.150000000009</v>
      </c>
      <c r="H159" s="268" t="s">
        <v>517</v>
      </c>
      <c r="I159" s="493">
        <f>+'KIPP Assumptions'!D$93</f>
        <v>1</v>
      </c>
      <c r="J159" s="314">
        <f>+'Yr 2 Operating Statement of Act'!J159*(1+'Operating Statement of Act'!$M$79)</f>
        <v>57977.150000000009</v>
      </c>
      <c r="K159" s="487"/>
      <c r="L159" s="491"/>
      <c r="M159" s="487"/>
      <c r="N159" s="487"/>
      <c r="O159" s="487"/>
      <c r="P159" s="487"/>
      <c r="Q159" s="237"/>
      <c r="R159" s="237"/>
      <c r="S159" s="237"/>
      <c r="T159" s="237"/>
      <c r="U159" s="102"/>
      <c r="V159" s="102"/>
      <c r="W159" s="102"/>
      <c r="X159" s="102"/>
      <c r="Y159" s="102"/>
    </row>
    <row r="160" spans="1:25" x14ac:dyDescent="0.2">
      <c r="A160" s="225">
        <v>107</v>
      </c>
      <c r="B160" s="37"/>
      <c r="C160" s="10" t="s">
        <v>282</v>
      </c>
      <c r="D160" s="10"/>
      <c r="E160" s="19" t="s">
        <v>221</v>
      </c>
      <c r="F160" s="159" t="s">
        <v>240</v>
      </c>
      <c r="G160" s="321">
        <f>+I160*J160*'KIPP Assumptions'!D$101</f>
        <v>43482.862500000003</v>
      </c>
      <c r="H160" s="268" t="s">
        <v>517</v>
      </c>
      <c r="I160" s="493">
        <f>+'KIPP Assumptions'!D$91</f>
        <v>1</v>
      </c>
      <c r="J160" s="314">
        <f>+'Yr 2 Operating Statement of Act'!J160*(1+'Operating Statement of Act'!$M$79)</f>
        <v>57977.150000000009</v>
      </c>
      <c r="K160" s="487"/>
      <c r="L160" s="491"/>
      <c r="M160" s="487"/>
      <c r="N160" s="487"/>
      <c r="O160" s="487"/>
      <c r="P160" s="487"/>
      <c r="Q160" s="237"/>
      <c r="R160" s="237"/>
      <c r="S160" s="237"/>
      <c r="T160" s="237"/>
      <c r="U160" s="102"/>
      <c r="V160" s="102"/>
      <c r="W160" s="102"/>
      <c r="X160" s="102"/>
      <c r="Y160" s="102"/>
    </row>
    <row r="161" spans="1:25" x14ac:dyDescent="0.2">
      <c r="A161" s="225">
        <v>108</v>
      </c>
      <c r="B161" s="37"/>
      <c r="C161" s="10" t="s">
        <v>120</v>
      </c>
      <c r="D161" s="10"/>
      <c r="E161" s="19" t="s">
        <v>221</v>
      </c>
      <c r="F161" s="159" t="s">
        <v>240</v>
      </c>
      <c r="G161" s="303">
        <f>+I161*J161</f>
        <v>32612.146875000006</v>
      </c>
      <c r="H161" s="268" t="s">
        <v>517</v>
      </c>
      <c r="I161" s="493">
        <f>+'KIPP Assumptions'!D$92</f>
        <v>0.5</v>
      </c>
      <c r="J161" s="314">
        <f>+'Yr 2 Operating Statement of Act'!J161*(1+'Operating Statement of Act'!$M$79)</f>
        <v>65224.293750000012</v>
      </c>
      <c r="K161" s="487"/>
      <c r="L161" s="491"/>
      <c r="M161" s="487"/>
      <c r="N161" s="487"/>
      <c r="O161" s="487"/>
      <c r="P161" s="487"/>
      <c r="Q161" s="237"/>
      <c r="R161" s="237"/>
      <c r="S161" s="237"/>
      <c r="T161" s="237"/>
      <c r="U161" s="102"/>
      <c r="V161" s="102"/>
      <c r="W161" s="102"/>
      <c r="X161" s="102"/>
      <c r="Y161" s="102"/>
    </row>
    <row r="162" spans="1:25" x14ac:dyDescent="0.2">
      <c r="A162" s="225">
        <v>109</v>
      </c>
      <c r="B162" s="37"/>
      <c r="C162" s="10" t="s">
        <v>295</v>
      </c>
      <c r="D162" s="10"/>
      <c r="E162" s="19" t="s">
        <v>97</v>
      </c>
      <c r="F162" s="159" t="s">
        <v>240</v>
      </c>
      <c r="G162" s="303">
        <f t="shared" ref="G162:G166" si="4">+SUM(G$158:G$161)*$I162</f>
        <v>13518.697858468291</v>
      </c>
      <c r="H162" s="268"/>
      <c r="I162" s="492">
        <f>'KIPP Assumptions'!$B$105+'KIPP Assumptions'!$B$106+'KIPP Assumptions'!$B$107+'KIPP Assumptions'!$B$108+'KIPP Assumptions'!$B$109</f>
        <v>7.0773334087038758E-2</v>
      </c>
      <c r="J162" s="487"/>
      <c r="K162" s="487"/>
      <c r="L162" s="491"/>
      <c r="M162" s="487"/>
      <c r="N162" s="487"/>
      <c r="O162" s="487"/>
      <c r="P162" s="487"/>
      <c r="Q162" s="237"/>
      <c r="R162" s="237"/>
      <c r="S162" s="237"/>
      <c r="T162" s="237"/>
      <c r="U162" s="102"/>
      <c r="V162" s="102"/>
      <c r="W162" s="102"/>
      <c r="X162" s="102"/>
      <c r="Y162" s="102"/>
    </row>
    <row r="163" spans="1:25" x14ac:dyDescent="0.2">
      <c r="A163" s="225">
        <v>110</v>
      </c>
      <c r="B163" s="37"/>
      <c r="C163" s="10" t="s">
        <v>98</v>
      </c>
      <c r="D163" s="10"/>
      <c r="E163" s="19" t="s">
        <v>99</v>
      </c>
      <c r="F163" s="159" t="s">
        <v>240</v>
      </c>
      <c r="G163" s="303">
        <f t="shared" si="4"/>
        <v>11842.868193750001</v>
      </c>
      <c r="H163" s="268"/>
      <c r="I163" s="492">
        <f>'KIPP Assumptions'!$B$111</f>
        <v>6.2E-2</v>
      </c>
      <c r="J163" s="487"/>
      <c r="K163" s="487"/>
      <c r="L163" s="491"/>
      <c r="M163" s="487"/>
      <c r="N163" s="487"/>
      <c r="O163" s="487"/>
      <c r="P163" s="487"/>
      <c r="Q163" s="237"/>
      <c r="R163" s="237"/>
      <c r="S163" s="237"/>
      <c r="T163" s="237"/>
      <c r="U163" s="102"/>
      <c r="V163" s="102"/>
      <c r="W163" s="102"/>
      <c r="X163" s="102"/>
      <c r="Y163" s="102"/>
    </row>
    <row r="164" spans="1:25" x14ac:dyDescent="0.2">
      <c r="A164" s="225">
        <v>111</v>
      </c>
      <c r="B164" s="37"/>
      <c r="C164" s="10" t="s">
        <v>100</v>
      </c>
      <c r="D164" s="10"/>
      <c r="E164" s="19" t="s">
        <v>101</v>
      </c>
      <c r="F164" s="159" t="s">
        <v>240</v>
      </c>
      <c r="G164" s="303">
        <f t="shared" si="4"/>
        <v>2769.7030453125003</v>
      </c>
      <c r="H164" s="268"/>
      <c r="I164" s="492">
        <f>'KIPP Assumptions'!$B$110</f>
        <v>1.4500000000000001E-2</v>
      </c>
      <c r="J164" s="487"/>
      <c r="K164" s="487"/>
      <c r="L164" s="491"/>
      <c r="M164" s="487"/>
      <c r="N164" s="487"/>
      <c r="O164" s="487"/>
      <c r="P164" s="487"/>
      <c r="Q164" s="237"/>
      <c r="R164" s="237"/>
      <c r="S164" s="237"/>
      <c r="T164" s="237"/>
      <c r="U164" s="102"/>
      <c r="V164" s="102"/>
      <c r="W164" s="102"/>
      <c r="X164" s="102"/>
      <c r="Y164" s="102"/>
    </row>
    <row r="165" spans="1:25" x14ac:dyDescent="0.2">
      <c r="A165" s="225">
        <v>112</v>
      </c>
      <c r="B165" s="37"/>
      <c r="C165" s="10" t="s">
        <v>219</v>
      </c>
      <c r="D165" s="10"/>
      <c r="E165" s="19" t="s">
        <v>220</v>
      </c>
      <c r="F165" s="159" t="s">
        <v>240</v>
      </c>
      <c r="G165" s="303">
        <f t="shared" si="4"/>
        <v>6137.1054904710545</v>
      </c>
      <c r="H165" s="268"/>
      <c r="I165" s="492">
        <f>+'KIPP Assumptions'!$B$113</f>
        <v>3.21290868212155E-2</v>
      </c>
      <c r="J165" s="487"/>
      <c r="K165" s="487"/>
      <c r="L165" s="491"/>
      <c r="M165" s="487"/>
      <c r="N165" s="487"/>
      <c r="O165" s="487"/>
      <c r="P165" s="487"/>
      <c r="Q165" s="237"/>
      <c r="R165" s="237"/>
      <c r="S165" s="237"/>
      <c r="T165" s="237"/>
      <c r="U165" s="102"/>
      <c r="V165" s="102"/>
      <c r="W165" s="102"/>
      <c r="X165" s="102"/>
      <c r="Y165" s="102"/>
    </row>
    <row r="166" spans="1:25" x14ac:dyDescent="0.2">
      <c r="A166" s="225">
        <v>113</v>
      </c>
      <c r="B166" s="37"/>
      <c r="C166" s="10" t="s">
        <v>102</v>
      </c>
      <c r="D166" s="10"/>
      <c r="E166" s="19" t="s">
        <v>103</v>
      </c>
      <c r="F166" s="159" t="s">
        <v>240</v>
      </c>
      <c r="G166" s="303">
        <f t="shared" si="4"/>
        <v>191.01400312500002</v>
      </c>
      <c r="H166" s="268"/>
      <c r="I166" s="492">
        <f>+'KIPP Assumptions'!$B$112</f>
        <v>1E-3</v>
      </c>
      <c r="J166" s="487"/>
      <c r="K166" s="487"/>
      <c r="L166" s="491"/>
      <c r="M166" s="487"/>
      <c r="N166" s="487"/>
      <c r="O166" s="487"/>
      <c r="P166" s="487"/>
      <c r="Q166" s="237"/>
      <c r="R166" s="237"/>
      <c r="S166" s="237"/>
      <c r="T166" s="237"/>
      <c r="U166" s="102"/>
      <c r="V166" s="102"/>
      <c r="W166" s="102"/>
      <c r="X166" s="102"/>
      <c r="Y166" s="102"/>
    </row>
    <row r="167" spans="1:25" x14ac:dyDescent="0.2">
      <c r="A167" s="225">
        <v>114</v>
      </c>
      <c r="B167" s="37"/>
      <c r="C167" s="10" t="s">
        <v>104</v>
      </c>
      <c r="D167" s="10"/>
      <c r="E167" s="19" t="s">
        <v>105</v>
      </c>
      <c r="F167" s="159" t="s">
        <v>240</v>
      </c>
      <c r="G167" s="303"/>
      <c r="H167" s="268"/>
      <c r="I167" s="490"/>
      <c r="J167" s="487"/>
      <c r="K167" s="487"/>
      <c r="L167" s="491"/>
      <c r="M167" s="487"/>
      <c r="N167" s="487"/>
      <c r="O167" s="487"/>
      <c r="P167" s="487"/>
      <c r="Q167" s="237"/>
      <c r="R167" s="237"/>
      <c r="S167" s="237"/>
      <c r="T167" s="237"/>
      <c r="U167" s="102"/>
      <c r="V167" s="102"/>
      <c r="W167" s="102"/>
      <c r="X167" s="102"/>
      <c r="Y167" s="102"/>
    </row>
    <row r="168" spans="1:25" x14ac:dyDescent="0.2">
      <c r="A168" s="225">
        <v>115</v>
      </c>
      <c r="B168" s="37"/>
      <c r="C168" s="86" t="s">
        <v>283</v>
      </c>
      <c r="D168" s="10"/>
      <c r="E168" s="19"/>
      <c r="F168" s="159"/>
      <c r="G168" s="303"/>
      <c r="H168" s="268"/>
      <c r="I168" s="490"/>
      <c r="J168" s="487"/>
      <c r="K168" s="487"/>
      <c r="L168" s="491"/>
      <c r="M168" s="487"/>
      <c r="N168" s="487"/>
      <c r="O168" s="487"/>
      <c r="P168" s="487"/>
      <c r="Q168" s="237"/>
      <c r="R168" s="237"/>
      <c r="S168" s="237"/>
      <c r="T168" s="237"/>
      <c r="U168" s="102"/>
      <c r="V168" s="102"/>
      <c r="W168" s="102"/>
      <c r="X168" s="102"/>
      <c r="Y168" s="102"/>
    </row>
    <row r="169" spans="1:25" x14ac:dyDescent="0.2">
      <c r="A169" s="225">
        <v>116</v>
      </c>
      <c r="B169" s="37"/>
      <c r="C169" s="86"/>
      <c r="D169" s="10"/>
      <c r="E169" s="19"/>
      <c r="F169" s="159"/>
      <c r="G169" s="303"/>
      <c r="H169" s="268"/>
      <c r="I169" s="490"/>
      <c r="J169" s="487"/>
      <c r="K169" s="487"/>
      <c r="L169" s="491"/>
      <c r="M169" s="487"/>
      <c r="N169" s="487"/>
      <c r="O169" s="487"/>
      <c r="P169" s="487"/>
      <c r="Q169" s="237"/>
      <c r="R169" s="237"/>
      <c r="S169" s="237"/>
      <c r="T169" s="237"/>
      <c r="U169" s="102"/>
      <c r="V169" s="102"/>
      <c r="W169" s="102"/>
      <c r="X169" s="102"/>
      <c r="Y169" s="102"/>
    </row>
    <row r="170" spans="1:25" x14ac:dyDescent="0.2">
      <c r="A170" s="225">
        <v>117</v>
      </c>
      <c r="B170" s="84"/>
      <c r="C170" s="85"/>
      <c r="D170" s="14"/>
      <c r="E170" s="15"/>
      <c r="F170" s="167"/>
      <c r="G170" s="315"/>
      <c r="H170" s="283"/>
      <c r="I170" s="490"/>
      <c r="J170" s="487"/>
      <c r="K170" s="487"/>
      <c r="L170" s="491"/>
      <c r="M170" s="487"/>
      <c r="N170" s="487"/>
      <c r="O170" s="487"/>
      <c r="P170" s="487"/>
      <c r="Q170" s="237"/>
      <c r="R170" s="237"/>
      <c r="S170" s="237"/>
      <c r="T170" s="237"/>
      <c r="U170" s="102"/>
      <c r="V170" s="102"/>
      <c r="W170" s="102"/>
      <c r="X170" s="102"/>
      <c r="Y170" s="102"/>
    </row>
    <row r="171" spans="1:25" ht="15" x14ac:dyDescent="0.25">
      <c r="A171" s="226">
        <v>118</v>
      </c>
      <c r="B171" s="88" t="s">
        <v>121</v>
      </c>
      <c r="C171" s="52"/>
      <c r="D171" s="52"/>
      <c r="E171" s="50"/>
      <c r="F171" s="163"/>
      <c r="G171" s="306">
        <f>SUM(G158:G170)</f>
        <v>225473.39171612685</v>
      </c>
      <c r="H171" s="271"/>
      <c r="I171" s="490"/>
      <c r="J171" s="487"/>
      <c r="K171" s="487"/>
      <c r="L171" s="491"/>
      <c r="M171" s="487"/>
      <c r="N171" s="487"/>
      <c r="O171" s="487"/>
      <c r="P171" s="487"/>
      <c r="Q171" s="237"/>
      <c r="R171" s="237"/>
      <c r="S171" s="237"/>
      <c r="T171" s="237"/>
      <c r="U171" s="102"/>
      <c r="V171" s="102"/>
      <c r="W171" s="102"/>
      <c r="X171" s="102"/>
      <c r="Y171" s="102"/>
    </row>
    <row r="172" spans="1:25" ht="9" customHeight="1" x14ac:dyDescent="0.2">
      <c r="A172" s="230"/>
      <c r="B172" s="36"/>
      <c r="C172" s="13"/>
      <c r="D172" s="13"/>
      <c r="E172" s="17"/>
      <c r="F172" s="171"/>
      <c r="G172" s="319"/>
      <c r="H172" s="288"/>
      <c r="I172" s="490"/>
      <c r="J172" s="487"/>
      <c r="K172" s="487"/>
      <c r="L172" s="491"/>
      <c r="M172" s="487"/>
      <c r="N172" s="487"/>
      <c r="O172" s="487"/>
      <c r="P172" s="487"/>
      <c r="Q172" s="237"/>
      <c r="R172" s="237"/>
      <c r="S172" s="237"/>
      <c r="T172" s="237"/>
      <c r="U172" s="102"/>
      <c r="V172" s="102"/>
      <c r="W172" s="102"/>
      <c r="X172" s="102"/>
      <c r="Y172" s="102"/>
    </row>
    <row r="173" spans="1:25" s="5" customFormat="1" ht="15" x14ac:dyDescent="0.25">
      <c r="A173" s="225"/>
      <c r="B173" s="89" t="s">
        <v>25</v>
      </c>
      <c r="C173" s="54"/>
      <c r="D173" s="54"/>
      <c r="E173" s="62"/>
      <c r="F173" s="158"/>
      <c r="G173" s="302"/>
      <c r="H173" s="267"/>
      <c r="I173" s="490"/>
      <c r="J173" s="487"/>
      <c r="K173" s="487"/>
      <c r="L173" s="491"/>
      <c r="M173" s="487"/>
      <c r="N173" s="487"/>
      <c r="O173" s="487"/>
      <c r="P173" s="487"/>
      <c r="Q173" s="237"/>
      <c r="R173" s="237"/>
      <c r="S173" s="237"/>
      <c r="T173" s="237"/>
      <c r="U173" s="240"/>
      <c r="V173" s="240"/>
      <c r="W173" s="240"/>
      <c r="X173" s="240"/>
      <c r="Y173" s="240"/>
    </row>
    <row r="174" spans="1:25" x14ac:dyDescent="0.2">
      <c r="A174" s="225">
        <v>119</v>
      </c>
      <c r="B174" s="37"/>
      <c r="C174" s="10" t="s">
        <v>241</v>
      </c>
      <c r="D174" s="10"/>
      <c r="E174" s="19">
        <v>111</v>
      </c>
      <c r="F174" s="159" t="s">
        <v>265</v>
      </c>
      <c r="G174" s="303"/>
      <c r="H174" s="268"/>
      <c r="I174" s="490"/>
      <c r="J174" s="487"/>
      <c r="K174" s="487"/>
      <c r="L174" s="491"/>
      <c r="M174" s="487"/>
      <c r="N174" s="487"/>
      <c r="O174" s="487"/>
      <c r="P174" s="487"/>
      <c r="Q174" s="237"/>
      <c r="R174" s="237"/>
      <c r="S174" s="237"/>
      <c r="T174" s="237"/>
      <c r="U174" s="102"/>
      <c r="V174" s="102"/>
      <c r="W174" s="102"/>
      <c r="X174" s="102"/>
      <c r="Y174" s="102"/>
    </row>
    <row r="175" spans="1:25" x14ac:dyDescent="0.2">
      <c r="A175" s="225">
        <v>120</v>
      </c>
      <c r="B175" s="37"/>
      <c r="C175" s="10" t="s">
        <v>122</v>
      </c>
      <c r="D175" s="10"/>
      <c r="E175" s="19" t="s">
        <v>221</v>
      </c>
      <c r="F175" s="159" t="s">
        <v>265</v>
      </c>
      <c r="G175" s="303">
        <v>20808</v>
      </c>
      <c r="H175" s="268"/>
      <c r="I175" s="490"/>
      <c r="J175" s="491"/>
      <c r="K175" s="491"/>
      <c r="L175" s="491"/>
      <c r="M175" s="487"/>
      <c r="N175" s="487"/>
      <c r="O175" s="487"/>
      <c r="P175" s="487"/>
      <c r="Q175" s="237"/>
      <c r="R175" s="237"/>
      <c r="S175" s="237"/>
      <c r="T175" s="237"/>
      <c r="U175" s="102"/>
      <c r="V175" s="102"/>
      <c r="W175" s="102"/>
      <c r="X175" s="102"/>
      <c r="Y175" s="102"/>
    </row>
    <row r="176" spans="1:25" x14ac:dyDescent="0.2">
      <c r="A176" s="225">
        <v>121</v>
      </c>
      <c r="B176" s="37"/>
      <c r="C176" s="10" t="s">
        <v>266</v>
      </c>
      <c r="D176" s="10"/>
      <c r="E176" s="19" t="s">
        <v>224</v>
      </c>
      <c r="F176" s="159" t="s">
        <v>265</v>
      </c>
      <c r="G176" s="303"/>
      <c r="H176" s="268"/>
      <c r="I176" s="490"/>
      <c r="J176" s="487"/>
      <c r="K176" s="487"/>
      <c r="L176" s="491"/>
      <c r="M176" s="487"/>
      <c r="N176" s="487"/>
      <c r="O176" s="487"/>
      <c r="P176" s="487"/>
      <c r="Q176" s="237"/>
      <c r="R176" s="237"/>
      <c r="S176" s="237"/>
      <c r="T176" s="237"/>
      <c r="U176" s="102"/>
      <c r="V176" s="102"/>
      <c r="W176" s="102"/>
      <c r="X176" s="102"/>
      <c r="Y176" s="102"/>
    </row>
    <row r="177" spans="1:25" x14ac:dyDescent="0.2">
      <c r="A177" s="225">
        <v>122</v>
      </c>
      <c r="B177" s="37"/>
      <c r="C177" s="10" t="s">
        <v>123</v>
      </c>
      <c r="D177" s="10"/>
      <c r="E177" s="19" t="s">
        <v>221</v>
      </c>
      <c r="F177" s="159">
        <v>2230</v>
      </c>
      <c r="G177" s="303"/>
      <c r="H177" s="268"/>
      <c r="I177" s="490"/>
      <c r="J177" s="487"/>
      <c r="K177" s="487"/>
      <c r="L177" s="491"/>
      <c r="M177" s="487"/>
      <c r="N177" s="487"/>
      <c r="O177" s="487"/>
      <c r="P177" s="487"/>
      <c r="Q177" s="237"/>
      <c r="R177" s="237"/>
      <c r="S177" s="237"/>
      <c r="T177" s="237"/>
      <c r="U177" s="102"/>
      <c r="V177" s="102"/>
      <c r="W177" s="102"/>
      <c r="X177" s="102"/>
      <c r="Y177" s="102"/>
    </row>
    <row r="178" spans="1:25" x14ac:dyDescent="0.2">
      <c r="A178" s="225">
        <v>123</v>
      </c>
      <c r="B178" s="37"/>
      <c r="C178" s="10" t="s">
        <v>124</v>
      </c>
      <c r="D178" s="10"/>
      <c r="E178" s="19" t="s">
        <v>221</v>
      </c>
      <c r="F178" s="159" t="s">
        <v>265</v>
      </c>
      <c r="G178" s="303"/>
      <c r="H178" s="268"/>
      <c r="I178" s="490"/>
      <c r="J178" s="487"/>
      <c r="K178" s="487"/>
      <c r="L178" s="491"/>
      <c r="M178" s="487"/>
      <c r="N178" s="487"/>
      <c r="O178" s="487"/>
      <c r="P178" s="487"/>
      <c r="Q178" s="237"/>
      <c r="R178" s="237"/>
      <c r="S178" s="237"/>
      <c r="T178" s="237"/>
      <c r="U178" s="102"/>
      <c r="V178" s="102"/>
      <c r="W178" s="102"/>
      <c r="X178" s="102"/>
      <c r="Y178" s="102"/>
    </row>
    <row r="179" spans="1:25" x14ac:dyDescent="0.2">
      <c r="A179" s="225">
        <v>124</v>
      </c>
      <c r="B179" s="37"/>
      <c r="C179" s="10" t="s">
        <v>295</v>
      </c>
      <c r="D179" s="10"/>
      <c r="E179" s="19" t="s">
        <v>97</v>
      </c>
      <c r="F179" s="159" t="s">
        <v>265</v>
      </c>
      <c r="G179" s="303">
        <v>0</v>
      </c>
      <c r="H179" s="268" t="s">
        <v>411</v>
      </c>
      <c r="I179" s="490"/>
      <c r="J179" s="487"/>
      <c r="K179" s="487"/>
      <c r="L179" s="491"/>
      <c r="M179" s="487"/>
      <c r="N179" s="487"/>
      <c r="O179" s="487"/>
      <c r="P179" s="487"/>
      <c r="Q179" s="237"/>
      <c r="R179" s="237"/>
      <c r="S179" s="237"/>
      <c r="T179" s="237"/>
      <c r="U179" s="102"/>
      <c r="V179" s="102"/>
      <c r="W179" s="102"/>
      <c r="X179" s="102"/>
      <c r="Y179" s="102"/>
    </row>
    <row r="180" spans="1:25" x14ac:dyDescent="0.2">
      <c r="A180" s="225">
        <v>125</v>
      </c>
      <c r="B180" s="37"/>
      <c r="C180" s="10" t="s">
        <v>98</v>
      </c>
      <c r="D180" s="10"/>
      <c r="E180" s="19" t="s">
        <v>99</v>
      </c>
      <c r="F180" s="159" t="s">
        <v>265</v>
      </c>
      <c r="G180" s="303">
        <v>0</v>
      </c>
      <c r="H180" s="268" t="s">
        <v>411</v>
      </c>
      <c r="I180" s="490"/>
      <c r="J180" s="487"/>
      <c r="K180" s="487"/>
      <c r="L180" s="491"/>
      <c r="M180" s="487"/>
      <c r="N180" s="487"/>
      <c r="O180" s="487"/>
      <c r="P180" s="487"/>
      <c r="Q180" s="237"/>
      <c r="R180" s="237"/>
      <c r="S180" s="237"/>
      <c r="T180" s="237"/>
      <c r="U180" s="102"/>
      <c r="V180" s="102"/>
      <c r="W180" s="102"/>
      <c r="X180" s="102"/>
      <c r="Y180" s="102"/>
    </row>
    <row r="181" spans="1:25" x14ac:dyDescent="0.2">
      <c r="A181" s="225">
        <v>126</v>
      </c>
      <c r="B181" s="37"/>
      <c r="C181" s="10" t="s">
        <v>100</v>
      </c>
      <c r="D181" s="10"/>
      <c r="E181" s="19" t="s">
        <v>101</v>
      </c>
      <c r="F181" s="159" t="s">
        <v>265</v>
      </c>
      <c r="G181" s="303">
        <v>0</v>
      </c>
      <c r="H181" s="268" t="s">
        <v>411</v>
      </c>
      <c r="I181" s="490"/>
      <c r="J181" s="487"/>
      <c r="K181" s="487"/>
      <c r="L181" s="491"/>
      <c r="M181" s="487"/>
      <c r="N181" s="487"/>
      <c r="O181" s="487"/>
      <c r="P181" s="487"/>
      <c r="Q181" s="237"/>
      <c r="R181" s="237"/>
      <c r="S181" s="237"/>
      <c r="T181" s="237"/>
      <c r="U181" s="102"/>
      <c r="V181" s="102"/>
      <c r="W181" s="102"/>
      <c r="X181" s="102"/>
      <c r="Y181" s="102"/>
    </row>
    <row r="182" spans="1:25" x14ac:dyDescent="0.2">
      <c r="A182" s="225">
        <v>127</v>
      </c>
      <c r="B182" s="37"/>
      <c r="C182" s="10" t="s">
        <v>219</v>
      </c>
      <c r="D182" s="10"/>
      <c r="E182" s="19" t="s">
        <v>220</v>
      </c>
      <c r="F182" s="159" t="s">
        <v>265</v>
      </c>
      <c r="G182" s="303">
        <v>0</v>
      </c>
      <c r="H182" s="268" t="s">
        <v>411</v>
      </c>
      <c r="I182" s="490"/>
      <c r="J182" s="487"/>
      <c r="K182" s="487"/>
      <c r="L182" s="491"/>
      <c r="M182" s="487"/>
      <c r="N182" s="487"/>
      <c r="O182" s="487"/>
      <c r="P182" s="487"/>
      <c r="Q182" s="237"/>
      <c r="R182" s="237"/>
      <c r="S182" s="237"/>
      <c r="T182" s="237"/>
      <c r="U182" s="102"/>
      <c r="V182" s="102"/>
      <c r="W182" s="102"/>
      <c r="X182" s="102"/>
      <c r="Y182" s="102"/>
    </row>
    <row r="183" spans="1:25" x14ac:dyDescent="0.2">
      <c r="A183" s="225">
        <v>128</v>
      </c>
      <c r="B183" s="37"/>
      <c r="C183" s="10" t="s">
        <v>102</v>
      </c>
      <c r="D183" s="10"/>
      <c r="E183" s="19" t="s">
        <v>103</v>
      </c>
      <c r="F183" s="159" t="s">
        <v>265</v>
      </c>
      <c r="G183" s="303">
        <v>0</v>
      </c>
      <c r="H183" s="268" t="s">
        <v>411</v>
      </c>
      <c r="I183" s="490"/>
      <c r="J183" s="487"/>
      <c r="K183" s="487"/>
      <c r="L183" s="491"/>
      <c r="M183" s="487"/>
      <c r="N183" s="487"/>
      <c r="O183" s="487"/>
      <c r="P183" s="487"/>
      <c r="Q183" s="237"/>
      <c r="R183" s="237"/>
      <c r="S183" s="237"/>
      <c r="T183" s="237"/>
      <c r="U183" s="102"/>
      <c r="V183" s="102"/>
      <c r="W183" s="102"/>
      <c r="X183" s="102"/>
      <c r="Y183" s="102"/>
    </row>
    <row r="184" spans="1:25" x14ac:dyDescent="0.2">
      <c r="A184" s="225">
        <v>129</v>
      </c>
      <c r="B184" s="37"/>
      <c r="C184" s="10" t="s">
        <v>104</v>
      </c>
      <c r="D184" s="10"/>
      <c r="E184" s="19" t="s">
        <v>105</v>
      </c>
      <c r="F184" s="159" t="s">
        <v>265</v>
      </c>
      <c r="G184" s="303">
        <v>0</v>
      </c>
      <c r="H184" s="268" t="s">
        <v>411</v>
      </c>
      <c r="I184" s="490"/>
      <c r="J184" s="487"/>
      <c r="K184" s="487"/>
      <c r="L184" s="491"/>
      <c r="M184" s="487"/>
      <c r="N184" s="487"/>
      <c r="O184" s="487"/>
      <c r="P184" s="487"/>
      <c r="Q184" s="237"/>
      <c r="R184" s="237"/>
      <c r="S184" s="237"/>
      <c r="T184" s="237"/>
      <c r="U184" s="102"/>
      <c r="V184" s="102"/>
      <c r="W184" s="102"/>
      <c r="X184" s="102"/>
      <c r="Y184" s="102"/>
    </row>
    <row r="185" spans="1:25" x14ac:dyDescent="0.2">
      <c r="A185" s="225">
        <v>130</v>
      </c>
      <c r="B185" s="37"/>
      <c r="C185" s="86" t="s">
        <v>283</v>
      </c>
      <c r="D185" s="10"/>
      <c r="E185" s="19"/>
      <c r="F185" s="159"/>
      <c r="G185" s="303"/>
      <c r="H185" s="268"/>
      <c r="I185" s="490"/>
      <c r="J185" s="487"/>
      <c r="K185" s="487"/>
      <c r="L185" s="491"/>
      <c r="M185" s="487"/>
      <c r="N185" s="487"/>
      <c r="O185" s="487"/>
      <c r="P185" s="487"/>
      <c r="Q185" s="237"/>
      <c r="R185" s="237"/>
      <c r="S185" s="237"/>
      <c r="T185" s="237"/>
      <c r="U185" s="102"/>
      <c r="V185" s="102"/>
      <c r="W185" s="102"/>
      <c r="X185" s="102"/>
      <c r="Y185" s="102"/>
    </row>
    <row r="186" spans="1:25" x14ac:dyDescent="0.2">
      <c r="A186" s="225">
        <v>131</v>
      </c>
      <c r="B186" s="37"/>
      <c r="C186" s="86"/>
      <c r="D186" s="10"/>
      <c r="E186" s="19"/>
      <c r="F186" s="159"/>
      <c r="G186" s="303"/>
      <c r="H186" s="268"/>
      <c r="I186" s="490"/>
      <c r="J186" s="487"/>
      <c r="K186" s="487"/>
      <c r="L186" s="491"/>
      <c r="M186" s="487"/>
      <c r="N186" s="487"/>
      <c r="O186" s="487"/>
      <c r="P186" s="487"/>
      <c r="Q186" s="237"/>
      <c r="R186" s="237"/>
      <c r="S186" s="237"/>
      <c r="T186" s="237"/>
      <c r="U186" s="102"/>
      <c r="V186" s="102"/>
      <c r="W186" s="102"/>
      <c r="X186" s="102"/>
      <c r="Y186" s="102"/>
    </row>
    <row r="187" spans="1:25" x14ac:dyDescent="0.2">
      <c r="A187" s="225">
        <v>132</v>
      </c>
      <c r="B187" s="84"/>
      <c r="D187" s="14"/>
      <c r="E187" s="15"/>
      <c r="F187" s="167"/>
      <c r="G187" s="315"/>
      <c r="H187" s="283"/>
      <c r="I187" s="490"/>
      <c r="J187" s="487"/>
      <c r="K187" s="487"/>
      <c r="L187" s="491"/>
      <c r="M187" s="487"/>
      <c r="N187" s="487"/>
      <c r="O187" s="487"/>
      <c r="P187" s="487"/>
      <c r="Q187" s="237"/>
      <c r="R187" s="237"/>
      <c r="S187" s="237"/>
      <c r="T187" s="237"/>
      <c r="U187" s="102"/>
      <c r="V187" s="102"/>
      <c r="W187" s="102"/>
      <c r="X187" s="102"/>
      <c r="Y187" s="102"/>
    </row>
    <row r="188" spans="1:25" ht="15" x14ac:dyDescent="0.25">
      <c r="A188" s="226">
        <v>133</v>
      </c>
      <c r="B188" s="88" t="s">
        <v>125</v>
      </c>
      <c r="C188" s="52"/>
      <c r="D188" s="52"/>
      <c r="E188" s="50"/>
      <c r="F188" s="163"/>
      <c r="G188" s="306">
        <f>SUM(G174:G187)</f>
        <v>20808</v>
      </c>
      <c r="H188" s="271"/>
      <c r="I188" s="490"/>
      <c r="J188" s="487"/>
      <c r="K188" s="487"/>
      <c r="L188" s="491"/>
      <c r="M188" s="487"/>
      <c r="N188" s="487"/>
      <c r="O188" s="487"/>
      <c r="P188" s="487"/>
      <c r="Q188" s="237"/>
      <c r="R188" s="237"/>
      <c r="S188" s="237"/>
      <c r="T188" s="237"/>
      <c r="U188" s="102"/>
      <c r="V188" s="102"/>
      <c r="W188" s="102"/>
      <c r="X188" s="102"/>
      <c r="Y188" s="102"/>
    </row>
    <row r="189" spans="1:25" ht="4.5" customHeight="1" x14ac:dyDescent="0.2">
      <c r="A189" s="230"/>
      <c r="B189" s="36"/>
      <c r="C189" s="13"/>
      <c r="D189" s="13"/>
      <c r="E189" s="17"/>
      <c r="F189" s="171"/>
      <c r="G189" s="319"/>
      <c r="H189" s="288"/>
      <c r="I189" s="490"/>
      <c r="J189" s="487"/>
      <c r="K189" s="487"/>
      <c r="L189" s="491"/>
      <c r="M189" s="487"/>
      <c r="N189" s="487"/>
      <c r="O189" s="487"/>
      <c r="P189" s="487"/>
      <c r="Q189" s="237"/>
      <c r="R189" s="237"/>
      <c r="S189" s="237"/>
      <c r="T189" s="237"/>
      <c r="U189" s="102"/>
      <c r="V189" s="102"/>
      <c r="W189" s="102"/>
      <c r="X189" s="102"/>
      <c r="Y189" s="102"/>
    </row>
    <row r="190" spans="1:25" s="5" customFormat="1" ht="15" x14ac:dyDescent="0.25">
      <c r="A190" s="225"/>
      <c r="B190" s="89" t="s">
        <v>292</v>
      </c>
      <c r="C190" s="54"/>
      <c r="D190" s="54"/>
      <c r="E190" s="62"/>
      <c r="F190" s="158"/>
      <c r="G190" s="302"/>
      <c r="H190" s="267"/>
      <c r="I190" s="490"/>
      <c r="J190" s="487"/>
      <c r="K190" s="487"/>
      <c r="L190" s="491"/>
      <c r="M190" s="487"/>
      <c r="N190" s="487"/>
      <c r="O190" s="487"/>
      <c r="P190" s="487"/>
      <c r="Q190" s="237"/>
      <c r="R190" s="237"/>
      <c r="S190" s="237"/>
      <c r="T190" s="237"/>
      <c r="U190" s="240"/>
      <c r="V190" s="240"/>
      <c r="W190" s="240"/>
      <c r="X190" s="240"/>
      <c r="Y190" s="240"/>
    </row>
    <row r="191" spans="1:25" x14ac:dyDescent="0.2">
      <c r="A191" s="225"/>
      <c r="B191" s="26"/>
      <c r="C191" s="12" t="s">
        <v>1</v>
      </c>
      <c r="D191" s="12"/>
      <c r="E191" s="62"/>
      <c r="F191" s="158"/>
      <c r="G191" s="302"/>
      <c r="H191" s="267"/>
      <c r="I191" s="490"/>
      <c r="J191" s="487"/>
      <c r="K191" s="487"/>
      <c r="L191" s="491"/>
      <c r="M191" s="487"/>
      <c r="N191" s="487"/>
      <c r="O191" s="487"/>
      <c r="P191" s="487"/>
      <c r="Q191" s="237"/>
      <c r="R191" s="237"/>
      <c r="S191" s="237"/>
      <c r="T191" s="237"/>
      <c r="U191" s="102"/>
      <c r="V191" s="102"/>
      <c r="W191" s="102"/>
      <c r="X191" s="102"/>
      <c r="Y191" s="102"/>
    </row>
    <row r="192" spans="1:25" x14ac:dyDescent="0.2">
      <c r="A192" s="225">
        <v>134</v>
      </c>
      <c r="B192" s="37"/>
      <c r="C192" s="10"/>
      <c r="D192" s="10" t="s">
        <v>127</v>
      </c>
      <c r="E192" s="19">
        <v>332</v>
      </c>
      <c r="F192" s="159" t="s">
        <v>225</v>
      </c>
      <c r="G192" s="303">
        <v>36414</v>
      </c>
      <c r="H192" s="268" t="s">
        <v>425</v>
      </c>
      <c r="I192" s="490"/>
      <c r="J192" s="491"/>
      <c r="K192" s="491"/>
      <c r="L192" s="491"/>
      <c r="M192" s="487"/>
      <c r="N192" s="487"/>
      <c r="O192" s="487"/>
      <c r="P192" s="487"/>
      <c r="Q192" s="237"/>
      <c r="R192" s="237"/>
      <c r="S192" s="237"/>
      <c r="T192" s="237"/>
      <c r="U192" s="102"/>
      <c r="V192" s="102"/>
      <c r="W192" s="102"/>
      <c r="X192" s="102"/>
      <c r="Y192" s="102"/>
    </row>
    <row r="193" spans="1:25" x14ac:dyDescent="0.2">
      <c r="A193" s="225">
        <v>135</v>
      </c>
      <c r="B193" s="37"/>
      <c r="C193" s="10"/>
      <c r="D193" s="10" t="s">
        <v>83</v>
      </c>
      <c r="E193" s="19" t="s">
        <v>84</v>
      </c>
      <c r="F193" s="159" t="s">
        <v>126</v>
      </c>
      <c r="G193" s="303">
        <v>0</v>
      </c>
      <c r="H193" s="268"/>
      <c r="I193" s="490"/>
      <c r="J193" s="491"/>
      <c r="K193" s="487"/>
      <c r="L193" s="491"/>
      <c r="M193" s="487"/>
      <c r="N193" s="487"/>
      <c r="O193" s="487"/>
      <c r="P193" s="487"/>
      <c r="Q193" s="237"/>
      <c r="R193" s="237"/>
      <c r="S193" s="237"/>
      <c r="T193" s="237"/>
      <c r="U193" s="102"/>
      <c r="V193" s="102"/>
      <c r="W193" s="102"/>
      <c r="X193" s="102"/>
      <c r="Y193" s="102"/>
    </row>
    <row r="194" spans="1:25" x14ac:dyDescent="0.2">
      <c r="A194" s="225">
        <v>136</v>
      </c>
      <c r="B194" s="37"/>
      <c r="C194" s="10"/>
      <c r="D194" s="10" t="s">
        <v>128</v>
      </c>
      <c r="E194" s="19" t="s">
        <v>129</v>
      </c>
      <c r="F194" s="159" t="s">
        <v>126</v>
      </c>
      <c r="G194" s="303">
        <v>6970.68</v>
      </c>
      <c r="H194" s="268"/>
      <c r="I194" s="490"/>
      <c r="J194" s="491"/>
      <c r="K194" s="491"/>
      <c r="L194" s="491"/>
      <c r="M194" s="487"/>
      <c r="N194" s="487"/>
      <c r="O194" s="487"/>
      <c r="P194" s="487"/>
      <c r="Q194" s="237"/>
      <c r="R194" s="237"/>
      <c r="S194" s="237"/>
      <c r="T194" s="237"/>
      <c r="U194" s="102"/>
      <c r="V194" s="102"/>
      <c r="W194" s="102"/>
      <c r="X194" s="102"/>
      <c r="Y194" s="102"/>
    </row>
    <row r="195" spans="1:25" x14ac:dyDescent="0.2">
      <c r="A195" s="225">
        <v>137</v>
      </c>
      <c r="B195" s="37"/>
      <c r="C195" s="10"/>
      <c r="D195" s="10" t="s">
        <v>130</v>
      </c>
      <c r="E195" s="19" t="s">
        <v>223</v>
      </c>
      <c r="F195" s="159" t="s">
        <v>225</v>
      </c>
      <c r="G195" s="321">
        <v>43571.951999999997</v>
      </c>
      <c r="H195" s="268" t="s">
        <v>427</v>
      </c>
      <c r="I195" s="490"/>
      <c r="J195" s="491"/>
      <c r="K195" s="491"/>
      <c r="L195" s="491"/>
      <c r="M195" s="487"/>
      <c r="N195" s="487"/>
      <c r="O195" s="487"/>
      <c r="P195" s="487"/>
      <c r="Q195" s="237"/>
      <c r="R195" s="237"/>
      <c r="S195" s="237"/>
      <c r="T195" s="237"/>
      <c r="U195" s="102"/>
      <c r="V195" s="102"/>
      <c r="W195" s="102"/>
      <c r="X195" s="102"/>
      <c r="Y195" s="102"/>
    </row>
    <row r="196" spans="1:25" x14ac:dyDescent="0.2">
      <c r="A196" s="225">
        <v>138</v>
      </c>
      <c r="B196" s="37"/>
      <c r="C196" s="10"/>
      <c r="D196" s="10" t="s">
        <v>131</v>
      </c>
      <c r="E196" s="19" t="s">
        <v>132</v>
      </c>
      <c r="F196" s="159" t="s">
        <v>126</v>
      </c>
      <c r="G196" s="303">
        <v>2601</v>
      </c>
      <c r="H196" s="268" t="s">
        <v>433</v>
      </c>
      <c r="I196" s="490"/>
      <c r="J196" s="491"/>
      <c r="K196" s="491"/>
      <c r="L196" s="491"/>
      <c r="M196" s="487"/>
      <c r="N196" s="487"/>
      <c r="O196" s="487"/>
      <c r="P196" s="487"/>
      <c r="Q196" s="237"/>
      <c r="R196" s="237"/>
      <c r="S196" s="237"/>
      <c r="T196" s="237"/>
      <c r="U196" s="102"/>
      <c r="V196" s="102"/>
      <c r="W196" s="102"/>
      <c r="X196" s="102"/>
      <c r="Y196" s="102"/>
    </row>
    <row r="197" spans="1:25" x14ac:dyDescent="0.2">
      <c r="A197" s="225">
        <v>139</v>
      </c>
      <c r="B197" s="37"/>
      <c r="C197" s="10"/>
      <c r="D197" s="10" t="s">
        <v>5</v>
      </c>
      <c r="E197" s="19">
        <v>730</v>
      </c>
      <c r="F197" s="159" t="s">
        <v>225</v>
      </c>
      <c r="G197" s="303"/>
      <c r="H197" s="268"/>
      <c r="I197" s="490"/>
      <c r="J197" s="487"/>
      <c r="K197" s="487"/>
      <c r="L197" s="491"/>
      <c r="M197" s="487"/>
      <c r="N197" s="487"/>
      <c r="O197" s="487"/>
      <c r="P197" s="487"/>
      <c r="Q197" s="237"/>
      <c r="R197" s="237"/>
      <c r="S197" s="237"/>
      <c r="T197" s="237"/>
      <c r="U197" s="102"/>
      <c r="V197" s="102"/>
      <c r="W197" s="102"/>
      <c r="X197" s="102"/>
      <c r="Y197" s="102"/>
    </row>
    <row r="198" spans="1:25" x14ac:dyDescent="0.2">
      <c r="A198" s="225">
        <v>140</v>
      </c>
      <c r="B198" s="37"/>
      <c r="C198" s="10"/>
      <c r="D198" s="10" t="s">
        <v>133</v>
      </c>
      <c r="E198" s="19" t="s">
        <v>116</v>
      </c>
      <c r="F198" s="159" t="s">
        <v>126</v>
      </c>
      <c r="G198" s="303">
        <f>+'KIPP Assumptions'!$D51*('KIPP Assumptions'!D$6*SUM('KIPP Assumptions'!D$17:D$20)+SUMPRODUCT('KIPP Assumptions'!D$7:D$14,'KIPP Assumptions'!D$21:D$28))+'KIPP Assumptions'!$D52</f>
        <v>139178.99180625004</v>
      </c>
      <c r="H198" s="268" t="str">
        <f>"LDE/OPSB fees ("&amp;TEXT('KIPP Assumptions'!$D$51,"#.0%")&amp;" of MFP) and KIPP Foundation Fee ("&amp;TEXT('KIPP Assumptions'!$D$52,"$#,##0")&amp;")"</f>
        <v>LDE/OPSB fees (2.0% of MFP) and KIPP Foundation Fee ($30,000)</v>
      </c>
      <c r="I198" s="490"/>
      <c r="J198" s="487"/>
      <c r="K198" s="487"/>
      <c r="L198" s="491"/>
      <c r="M198" s="487"/>
      <c r="N198" s="487"/>
      <c r="O198" s="487"/>
      <c r="P198" s="487"/>
      <c r="Q198" s="237"/>
      <c r="R198" s="237"/>
      <c r="S198" s="237"/>
      <c r="T198" s="237"/>
      <c r="U198" s="102"/>
      <c r="V198" s="102"/>
      <c r="W198" s="102"/>
      <c r="X198" s="102"/>
      <c r="Y198" s="102"/>
    </row>
    <row r="199" spans="1:25" x14ac:dyDescent="0.2">
      <c r="A199" s="225">
        <v>141</v>
      </c>
      <c r="B199" s="37"/>
      <c r="C199" s="10"/>
      <c r="D199" s="10" t="s">
        <v>134</v>
      </c>
      <c r="E199" s="19" t="s">
        <v>135</v>
      </c>
      <c r="F199" s="159" t="s">
        <v>126</v>
      </c>
      <c r="G199" s="303"/>
      <c r="H199" s="268"/>
      <c r="I199" s="490"/>
      <c r="J199" s="487"/>
      <c r="K199" s="487"/>
      <c r="L199" s="491"/>
      <c r="M199" s="487"/>
      <c r="N199" s="487"/>
      <c r="O199" s="487"/>
      <c r="P199" s="487"/>
      <c r="Q199" s="237"/>
      <c r="R199" s="237"/>
      <c r="S199" s="237"/>
      <c r="T199" s="237"/>
      <c r="U199" s="102"/>
      <c r="V199" s="102"/>
      <c r="W199" s="102"/>
      <c r="X199" s="102"/>
      <c r="Y199" s="102"/>
    </row>
    <row r="200" spans="1:25" x14ac:dyDescent="0.2">
      <c r="A200" s="225">
        <v>142</v>
      </c>
      <c r="B200" s="37"/>
      <c r="C200" s="86" t="s">
        <v>283</v>
      </c>
      <c r="D200" s="10"/>
      <c r="E200" s="19"/>
      <c r="F200" s="159"/>
      <c r="G200" s="303"/>
      <c r="H200" s="268"/>
      <c r="I200" s="490"/>
      <c r="J200" s="487"/>
      <c r="K200" s="487"/>
      <c r="L200" s="491"/>
      <c r="M200" s="487"/>
      <c r="N200" s="487"/>
      <c r="O200" s="487"/>
      <c r="P200" s="487"/>
      <c r="Q200" s="237"/>
      <c r="R200" s="237"/>
      <c r="S200" s="237"/>
      <c r="T200" s="237"/>
      <c r="U200" s="102"/>
      <c r="V200" s="102"/>
      <c r="W200" s="102"/>
      <c r="X200" s="102"/>
      <c r="Y200" s="102"/>
    </row>
    <row r="201" spans="1:25" x14ac:dyDescent="0.2">
      <c r="A201" s="225">
        <v>143</v>
      </c>
      <c r="B201" s="108"/>
      <c r="C201" s="109"/>
      <c r="D201" s="110" t="s">
        <v>448</v>
      </c>
      <c r="E201" s="19">
        <v>310</v>
      </c>
      <c r="F201" s="159" t="s">
        <v>447</v>
      </c>
      <c r="G201" s="303">
        <f>+G70*'KIPP Assumptions'!$D49</f>
        <v>811102.41483750008</v>
      </c>
      <c r="H201" s="268" t="str">
        <f>"KNOS regional management fee ("&amp;TEXT('KIPP Assumptions'!$D$49,"#.0%")&amp;" of revenue)"</f>
        <v>KNOS regional management fee (12.0% of revenue)</v>
      </c>
      <c r="I201" s="490"/>
      <c r="J201" s="487"/>
      <c r="K201" s="487"/>
      <c r="L201" s="491"/>
      <c r="M201" s="487"/>
      <c r="N201" s="487"/>
      <c r="O201" s="487"/>
      <c r="P201" s="487"/>
      <c r="Q201" s="237"/>
      <c r="R201" s="237"/>
      <c r="S201" s="237"/>
      <c r="T201" s="237"/>
      <c r="U201" s="102"/>
      <c r="V201" s="102"/>
      <c r="W201" s="102"/>
      <c r="X201" s="102"/>
      <c r="Y201" s="102"/>
    </row>
    <row r="202" spans="1:25" x14ac:dyDescent="0.2">
      <c r="A202" s="225">
        <v>144</v>
      </c>
      <c r="B202" s="37"/>
      <c r="C202" s="10"/>
      <c r="D202" s="10"/>
      <c r="E202" s="19"/>
      <c r="F202" s="159"/>
      <c r="G202" s="303"/>
      <c r="H202" s="268"/>
      <c r="I202" s="490"/>
      <c r="J202" s="487"/>
      <c r="K202" s="487"/>
      <c r="L202" s="491"/>
      <c r="M202" s="487"/>
      <c r="N202" s="487"/>
      <c r="O202" s="487"/>
      <c r="P202" s="487"/>
      <c r="Q202" s="237"/>
      <c r="R202" s="237"/>
      <c r="S202" s="237"/>
      <c r="T202" s="237"/>
      <c r="U202" s="102"/>
      <c r="V202" s="102"/>
      <c r="W202" s="102"/>
      <c r="X202" s="102"/>
      <c r="Y202" s="102"/>
    </row>
    <row r="203" spans="1:25" ht="15" x14ac:dyDescent="0.25">
      <c r="A203" s="226">
        <v>145</v>
      </c>
      <c r="B203" s="88" t="s">
        <v>136</v>
      </c>
      <c r="C203" s="52"/>
      <c r="D203" s="52"/>
      <c r="E203" s="50"/>
      <c r="F203" s="163"/>
      <c r="G203" s="306">
        <f>SUM(G192:G202)</f>
        <v>1039839.0386437501</v>
      </c>
      <c r="H203" s="271"/>
      <c r="I203" s="490"/>
      <c r="J203" s="487"/>
      <c r="K203" s="487"/>
      <c r="L203" s="491"/>
      <c r="M203" s="487"/>
      <c r="N203" s="487"/>
      <c r="O203" s="487"/>
      <c r="P203" s="487"/>
      <c r="Q203" s="237"/>
      <c r="R203" s="237"/>
      <c r="S203" s="237"/>
      <c r="T203" s="237"/>
      <c r="U203" s="102"/>
      <c r="V203" s="102"/>
      <c r="W203" s="102"/>
      <c r="X203" s="102"/>
      <c r="Y203" s="102"/>
    </row>
    <row r="204" spans="1:25" x14ac:dyDescent="0.2">
      <c r="A204" s="225"/>
      <c r="B204" s="37"/>
      <c r="C204" s="10"/>
      <c r="D204" s="10"/>
      <c r="E204" s="19"/>
      <c r="F204" s="159"/>
      <c r="G204" s="303"/>
      <c r="H204" s="268"/>
      <c r="I204" s="490"/>
      <c r="J204" s="487"/>
      <c r="K204" s="487"/>
      <c r="L204" s="491"/>
      <c r="M204" s="487"/>
      <c r="N204" s="487"/>
      <c r="O204" s="487"/>
      <c r="P204" s="487"/>
      <c r="Q204" s="237"/>
      <c r="R204" s="237"/>
      <c r="S204" s="237"/>
      <c r="T204" s="237"/>
      <c r="U204" s="102"/>
      <c r="V204" s="102"/>
      <c r="W204" s="102"/>
      <c r="X204" s="102"/>
      <c r="Y204" s="102"/>
    </row>
    <row r="205" spans="1:25" s="5" customFormat="1" ht="15" x14ac:dyDescent="0.25">
      <c r="A205" s="225"/>
      <c r="B205" s="89" t="s">
        <v>26</v>
      </c>
      <c r="C205" s="54"/>
      <c r="D205" s="54"/>
      <c r="E205" s="62"/>
      <c r="F205" s="158"/>
      <c r="G205" s="302"/>
      <c r="H205" s="267"/>
      <c r="I205" s="490"/>
      <c r="J205" s="487"/>
      <c r="K205" s="487"/>
      <c r="L205" s="491"/>
      <c r="M205" s="487"/>
      <c r="N205" s="487"/>
      <c r="O205" s="487"/>
      <c r="P205" s="487"/>
      <c r="Q205" s="237"/>
      <c r="R205" s="237"/>
      <c r="S205" s="237"/>
      <c r="T205" s="237"/>
      <c r="U205" s="240"/>
      <c r="V205" s="240"/>
      <c r="W205" s="240"/>
      <c r="X205" s="240"/>
      <c r="Y205" s="240"/>
    </row>
    <row r="206" spans="1:25" x14ac:dyDescent="0.2">
      <c r="A206" s="225"/>
      <c r="B206" s="37"/>
      <c r="C206" s="10" t="s">
        <v>76</v>
      </c>
      <c r="D206" s="10"/>
      <c r="E206" s="62"/>
      <c r="F206" s="158"/>
      <c r="G206" s="302"/>
      <c r="H206" s="267"/>
      <c r="I206" s="490"/>
      <c r="J206" s="487"/>
      <c r="K206" s="487"/>
      <c r="L206" s="491"/>
      <c r="M206" s="487"/>
      <c r="N206" s="487"/>
      <c r="O206" s="487"/>
      <c r="P206" s="487"/>
      <c r="Q206" s="237"/>
      <c r="R206" s="237"/>
      <c r="S206" s="237"/>
      <c r="T206" s="237"/>
      <c r="U206" s="102"/>
      <c r="V206" s="102"/>
      <c r="W206" s="102"/>
      <c r="X206" s="102"/>
      <c r="Y206" s="102"/>
    </row>
    <row r="207" spans="1:25" x14ac:dyDescent="0.2">
      <c r="A207" s="225">
        <v>146</v>
      </c>
      <c r="B207" s="37"/>
      <c r="C207" s="10"/>
      <c r="D207" s="10" t="s">
        <v>137</v>
      </c>
      <c r="E207" s="19" t="s">
        <v>118</v>
      </c>
      <c r="F207" s="159" t="s">
        <v>138</v>
      </c>
      <c r="G207" s="303">
        <f>+I207*J207</f>
        <v>186355.125</v>
      </c>
      <c r="H207" s="268" t="s">
        <v>517</v>
      </c>
      <c r="I207" s="490">
        <f>+SUM('KIPP Assumptions'!D$76,'KIPP Assumptions'!D$81)</f>
        <v>2</v>
      </c>
      <c r="J207" s="314">
        <f>+'Yr 2 Operating Statement of Act'!J207*(1+'Operating Statement of Act'!$M$79)</f>
        <v>93177.5625</v>
      </c>
      <c r="K207" s="487"/>
      <c r="L207" s="491"/>
      <c r="M207" s="487"/>
      <c r="N207" s="487"/>
      <c r="O207" s="487"/>
      <c r="P207" s="487"/>
      <c r="Q207" s="237"/>
      <c r="R207" s="237"/>
      <c r="S207" s="237"/>
      <c r="T207" s="237"/>
      <c r="U207" s="102"/>
      <c r="V207" s="102"/>
      <c r="W207" s="102"/>
      <c r="X207" s="102"/>
      <c r="Y207" s="102"/>
    </row>
    <row r="208" spans="1:25" x14ac:dyDescent="0.2">
      <c r="A208" s="225">
        <v>147</v>
      </c>
      <c r="B208" s="37"/>
      <c r="C208" s="10"/>
      <c r="D208" s="10" t="s">
        <v>139</v>
      </c>
      <c r="E208" s="19" t="s">
        <v>118</v>
      </c>
      <c r="F208" s="159" t="s">
        <v>140</v>
      </c>
      <c r="G208" s="303">
        <f t="shared" ref="G208:G209" si="5">+I208*J208</f>
        <v>488664.5500000001</v>
      </c>
      <c r="H208" s="268" t="s">
        <v>517</v>
      </c>
      <c r="I208" s="490">
        <f>SUM('KIPP Assumptions'!D77:D80)</f>
        <v>8</v>
      </c>
      <c r="J208" s="314">
        <f>+'Yr 2 Operating Statement of Act'!J208*(1+'Operating Statement of Act'!$M$79)</f>
        <v>61083.068750000013</v>
      </c>
      <c r="K208" s="487"/>
      <c r="L208" s="491"/>
      <c r="M208" s="487"/>
      <c r="N208" s="487"/>
      <c r="O208" s="487"/>
      <c r="P208" s="487"/>
      <c r="Q208" s="237"/>
      <c r="R208" s="237"/>
      <c r="S208" s="237"/>
      <c r="T208" s="237"/>
      <c r="U208" s="102"/>
      <c r="V208" s="102"/>
      <c r="W208" s="102"/>
      <c r="X208" s="102"/>
      <c r="Y208" s="102"/>
    </row>
    <row r="209" spans="1:25" x14ac:dyDescent="0.2">
      <c r="A209" s="225">
        <v>148</v>
      </c>
      <c r="B209" s="37"/>
      <c r="C209" s="10"/>
      <c r="D209" s="10" t="s">
        <v>141</v>
      </c>
      <c r="E209" s="19" t="s">
        <v>119</v>
      </c>
      <c r="F209" s="159" t="s">
        <v>142</v>
      </c>
      <c r="G209" s="303">
        <f t="shared" si="5"/>
        <v>152190.01875000002</v>
      </c>
      <c r="H209" s="268" t="s">
        <v>517</v>
      </c>
      <c r="I209" s="490">
        <f>+'KIPP Assumptions'!D$94</f>
        <v>3</v>
      </c>
      <c r="J209" s="314">
        <f>+'Yr 2 Operating Statement of Act'!J209*(1+'Operating Statement of Act'!$M$79)</f>
        <v>50730.006250000006</v>
      </c>
      <c r="K209" s="487"/>
      <c r="L209" s="491"/>
      <c r="M209" s="487"/>
      <c r="N209" s="487"/>
      <c r="O209" s="487"/>
      <c r="P209" s="487"/>
      <c r="Q209" s="237"/>
      <c r="R209" s="237"/>
      <c r="S209" s="237"/>
      <c r="T209" s="237"/>
      <c r="U209" s="102"/>
      <c r="V209" s="102"/>
      <c r="W209" s="102"/>
      <c r="X209" s="102"/>
      <c r="Y209" s="102"/>
    </row>
    <row r="210" spans="1:25" x14ac:dyDescent="0.2">
      <c r="A210" s="225">
        <v>149</v>
      </c>
      <c r="B210" s="37"/>
      <c r="C210" s="10" t="s">
        <v>83</v>
      </c>
      <c r="D210" s="10"/>
      <c r="E210" s="19" t="s">
        <v>84</v>
      </c>
      <c r="F210" s="159" t="s">
        <v>142</v>
      </c>
      <c r="G210" s="303">
        <v>3537.36</v>
      </c>
      <c r="H210" s="268" t="s">
        <v>467</v>
      </c>
      <c r="I210" s="487"/>
      <c r="J210" s="491"/>
      <c r="K210" s="491"/>
      <c r="L210" s="491"/>
      <c r="M210" s="487"/>
      <c r="N210" s="487"/>
      <c r="O210" s="487"/>
      <c r="P210" s="487"/>
      <c r="Q210" s="237"/>
      <c r="R210" s="237"/>
      <c r="S210" s="237"/>
      <c r="T210" s="237"/>
      <c r="U210" s="102"/>
      <c r="V210" s="102"/>
      <c r="W210" s="102"/>
      <c r="X210" s="102"/>
      <c r="Y210" s="102"/>
    </row>
    <row r="211" spans="1:25" x14ac:dyDescent="0.2">
      <c r="A211" s="225">
        <v>150</v>
      </c>
      <c r="B211" s="37"/>
      <c r="C211" s="10" t="s">
        <v>85</v>
      </c>
      <c r="D211" s="10"/>
      <c r="E211" s="19" t="s">
        <v>86</v>
      </c>
      <c r="F211" s="159" t="s">
        <v>142</v>
      </c>
      <c r="G211" s="303"/>
      <c r="H211" s="268"/>
      <c r="I211" s="487"/>
      <c r="J211" s="487"/>
      <c r="K211" s="487"/>
      <c r="L211" s="491"/>
      <c r="M211" s="487"/>
      <c r="N211" s="487"/>
      <c r="O211" s="487"/>
      <c r="P211" s="487"/>
      <c r="Q211" s="237"/>
      <c r="R211" s="237"/>
      <c r="S211" s="237"/>
      <c r="T211" s="237"/>
      <c r="U211" s="102"/>
      <c r="V211" s="102"/>
      <c r="W211" s="102"/>
      <c r="X211" s="102"/>
      <c r="Y211" s="102"/>
    </row>
    <row r="212" spans="1:25" x14ac:dyDescent="0.2">
      <c r="A212" s="225">
        <v>151</v>
      </c>
      <c r="B212" s="37"/>
      <c r="C212" s="10" t="s">
        <v>111</v>
      </c>
      <c r="D212" s="10"/>
      <c r="E212" s="19" t="s">
        <v>112</v>
      </c>
      <c r="F212" s="159" t="s">
        <v>142</v>
      </c>
      <c r="G212" s="303"/>
      <c r="H212" s="268"/>
      <c r="I212" s="487"/>
      <c r="J212" s="487"/>
      <c r="K212" s="487"/>
      <c r="L212" s="491"/>
      <c r="M212" s="487"/>
      <c r="N212" s="487"/>
      <c r="O212" s="487"/>
      <c r="P212" s="487"/>
      <c r="Q212" s="237"/>
      <c r="R212" s="237"/>
      <c r="S212" s="237"/>
      <c r="T212" s="237"/>
      <c r="U212" s="102"/>
      <c r="V212" s="102"/>
      <c r="W212" s="102"/>
      <c r="X212" s="102"/>
      <c r="Y212" s="102"/>
    </row>
    <row r="213" spans="1:25" x14ac:dyDescent="0.2">
      <c r="A213" s="225">
        <v>152</v>
      </c>
      <c r="B213" s="37"/>
      <c r="C213" s="10" t="s">
        <v>143</v>
      </c>
      <c r="D213" s="10"/>
      <c r="E213" s="19" t="s">
        <v>144</v>
      </c>
      <c r="F213" s="159" t="s">
        <v>142</v>
      </c>
      <c r="G213" s="303"/>
      <c r="H213" s="268"/>
      <c r="I213" s="487"/>
      <c r="J213" s="487"/>
      <c r="K213" s="487"/>
      <c r="L213" s="491"/>
      <c r="M213" s="487"/>
      <c r="N213" s="487"/>
      <c r="O213" s="487"/>
      <c r="P213" s="487"/>
      <c r="Q213" s="237"/>
      <c r="R213" s="237"/>
      <c r="S213" s="237"/>
      <c r="T213" s="237"/>
      <c r="U213" s="102"/>
      <c r="V213" s="102"/>
      <c r="W213" s="102"/>
      <c r="X213" s="102"/>
      <c r="Y213" s="102"/>
    </row>
    <row r="214" spans="1:25" x14ac:dyDescent="0.2">
      <c r="A214" s="225">
        <v>153</v>
      </c>
      <c r="B214" s="37"/>
      <c r="C214" s="10" t="s">
        <v>87</v>
      </c>
      <c r="D214" s="10"/>
      <c r="E214" s="19" t="s">
        <v>88</v>
      </c>
      <c r="F214" s="159" t="s">
        <v>142</v>
      </c>
      <c r="G214" s="303">
        <v>5202</v>
      </c>
      <c r="H214" s="268" t="s">
        <v>515</v>
      </c>
      <c r="I214" s="487"/>
      <c r="J214" s="491"/>
      <c r="K214" s="491"/>
      <c r="L214" s="491"/>
      <c r="M214" s="487"/>
      <c r="N214" s="487"/>
      <c r="O214" s="487"/>
      <c r="P214" s="487"/>
      <c r="Q214" s="237"/>
      <c r="R214" s="237"/>
      <c r="S214" s="237"/>
      <c r="T214" s="237"/>
      <c r="U214" s="102"/>
      <c r="V214" s="102"/>
      <c r="W214" s="102"/>
      <c r="X214" s="102"/>
      <c r="Y214" s="102"/>
    </row>
    <row r="215" spans="1:25" x14ac:dyDescent="0.2">
      <c r="A215" s="225">
        <v>154</v>
      </c>
      <c r="B215" s="37"/>
      <c r="C215" s="10" t="s">
        <v>110</v>
      </c>
      <c r="D215" s="10"/>
      <c r="E215" s="19" t="s">
        <v>90</v>
      </c>
      <c r="F215" s="159" t="s">
        <v>142</v>
      </c>
      <c r="G215" s="303">
        <v>68198.22</v>
      </c>
      <c r="H215" s="268" t="s">
        <v>435</v>
      </c>
      <c r="I215" s="487"/>
      <c r="J215" s="491"/>
      <c r="K215" s="487"/>
      <c r="L215" s="491"/>
      <c r="M215" s="487"/>
      <c r="N215" s="487"/>
      <c r="O215" s="487"/>
      <c r="P215" s="487"/>
      <c r="Q215" s="237"/>
      <c r="R215" s="237"/>
      <c r="S215" s="237"/>
      <c r="T215" s="237"/>
      <c r="U215" s="102"/>
      <c r="V215" s="102"/>
      <c r="W215" s="102"/>
      <c r="X215" s="102"/>
      <c r="Y215" s="102"/>
    </row>
    <row r="216" spans="1:25" x14ac:dyDescent="0.2">
      <c r="A216" s="225">
        <v>155</v>
      </c>
      <c r="B216" s="37"/>
      <c r="C216" s="10" t="s">
        <v>242</v>
      </c>
      <c r="D216" s="10"/>
      <c r="E216" s="19" t="s">
        <v>243</v>
      </c>
      <c r="F216" s="159" t="s">
        <v>142</v>
      </c>
      <c r="G216" s="303"/>
      <c r="H216" s="268"/>
      <c r="I216" s="487"/>
      <c r="J216" s="487"/>
      <c r="K216" s="487"/>
      <c r="L216" s="491"/>
      <c r="M216" s="487"/>
      <c r="N216" s="487"/>
      <c r="O216" s="487"/>
      <c r="P216" s="487"/>
      <c r="Q216" s="237"/>
      <c r="R216" s="237"/>
      <c r="S216" s="237"/>
      <c r="T216" s="237"/>
      <c r="U216" s="102"/>
      <c r="V216" s="102"/>
      <c r="W216" s="102"/>
      <c r="X216" s="102"/>
      <c r="Y216" s="102"/>
    </row>
    <row r="217" spans="1:25" x14ac:dyDescent="0.2">
      <c r="A217" s="225">
        <v>156</v>
      </c>
      <c r="B217" s="37"/>
      <c r="C217" s="10" t="s">
        <v>296</v>
      </c>
      <c r="D217" s="10"/>
      <c r="E217" s="19" t="s">
        <v>116</v>
      </c>
      <c r="F217" s="159" t="s">
        <v>142</v>
      </c>
      <c r="G217" s="303">
        <v>2184.84</v>
      </c>
      <c r="H217" s="268" t="s">
        <v>428</v>
      </c>
      <c r="I217" s="487"/>
      <c r="J217" s="491"/>
      <c r="K217" s="487"/>
      <c r="L217" s="491"/>
      <c r="M217" s="487"/>
      <c r="N217" s="487"/>
      <c r="O217" s="487"/>
      <c r="P217" s="487"/>
      <c r="Q217" s="237"/>
      <c r="R217" s="237"/>
      <c r="S217" s="237"/>
      <c r="T217" s="237"/>
      <c r="U217" s="102"/>
      <c r="V217" s="102"/>
      <c r="W217" s="102"/>
      <c r="X217" s="102"/>
      <c r="Y217" s="102"/>
    </row>
    <row r="218" spans="1:25" x14ac:dyDescent="0.2">
      <c r="A218" s="225">
        <v>157</v>
      </c>
      <c r="B218" s="37"/>
      <c r="C218" s="10" t="s">
        <v>95</v>
      </c>
      <c r="D218" s="10"/>
      <c r="E218" s="19" t="s">
        <v>96</v>
      </c>
      <c r="F218" s="159" t="s">
        <v>142</v>
      </c>
      <c r="G218" s="303">
        <f>+G70*0.01</f>
        <v>67591.867903125007</v>
      </c>
      <c r="H218" s="268" t="s">
        <v>437</v>
      </c>
      <c r="I218" s="487"/>
      <c r="J218" s="487"/>
      <c r="K218" s="487"/>
      <c r="L218" s="491"/>
      <c r="M218" s="487"/>
      <c r="N218" s="500"/>
      <c r="O218" s="487"/>
      <c r="P218" s="487"/>
      <c r="Q218" s="237"/>
      <c r="R218" s="237"/>
      <c r="S218" s="237"/>
      <c r="T218" s="237"/>
      <c r="U218" s="102"/>
      <c r="V218" s="102"/>
      <c r="W218" s="102"/>
      <c r="X218" s="102"/>
      <c r="Y218" s="102"/>
    </row>
    <row r="219" spans="1:25" x14ac:dyDescent="0.2">
      <c r="A219" s="225">
        <v>158</v>
      </c>
      <c r="B219" s="37"/>
      <c r="C219" s="10" t="s">
        <v>295</v>
      </c>
      <c r="D219" s="10"/>
      <c r="E219" s="19" t="s">
        <v>97</v>
      </c>
      <c r="F219" s="159" t="s">
        <v>11</v>
      </c>
      <c r="G219" s="303">
        <f>+SUM(G$207:G$209)*$I219</f>
        <v>58544.388015805773</v>
      </c>
      <c r="H219" s="268"/>
      <c r="I219" s="492">
        <f>'KIPP Assumptions'!$B$105+'KIPP Assumptions'!$B$106+'KIPP Assumptions'!$B$107+'KIPP Assumptions'!$B$108+'KIPP Assumptions'!$B$109</f>
        <v>7.0773334087038758E-2</v>
      </c>
      <c r="J219" s="487"/>
      <c r="K219" s="487"/>
      <c r="L219" s="491"/>
      <c r="M219" s="487"/>
      <c r="N219" s="487"/>
      <c r="O219" s="487"/>
      <c r="P219" s="487"/>
      <c r="Q219" s="237"/>
      <c r="R219" s="237"/>
      <c r="S219" s="237"/>
      <c r="T219" s="237"/>
      <c r="U219" s="102"/>
      <c r="V219" s="102"/>
      <c r="W219" s="102"/>
      <c r="X219" s="102"/>
      <c r="Y219" s="102"/>
    </row>
    <row r="220" spans="1:25" x14ac:dyDescent="0.2">
      <c r="A220" s="225">
        <v>159</v>
      </c>
      <c r="B220" s="37"/>
      <c r="C220" s="10" t="s">
        <v>98</v>
      </c>
      <c r="D220" s="10"/>
      <c r="E220" s="19" t="s">
        <v>99</v>
      </c>
      <c r="F220" s="159" t="s">
        <v>11</v>
      </c>
      <c r="G220" s="303">
        <f t="shared" ref="G220:G223" si="6">+SUM(G$207:G$209)*$I220</f>
        <v>51287.001012500004</v>
      </c>
      <c r="H220" s="268"/>
      <c r="I220" s="492">
        <f>'KIPP Assumptions'!$B$111</f>
        <v>6.2E-2</v>
      </c>
      <c r="J220" s="487"/>
      <c r="K220" s="487"/>
      <c r="L220" s="491"/>
      <c r="M220" s="487"/>
      <c r="N220" s="487"/>
      <c r="O220" s="487"/>
      <c r="P220" s="487"/>
      <c r="Q220" s="237"/>
      <c r="R220" s="237"/>
      <c r="S220" s="237"/>
      <c r="T220" s="237"/>
      <c r="U220" s="102"/>
      <c r="V220" s="102"/>
      <c r="W220" s="102"/>
      <c r="X220" s="102"/>
      <c r="Y220" s="102"/>
    </row>
    <row r="221" spans="1:25" x14ac:dyDescent="0.2">
      <c r="A221" s="225">
        <v>160</v>
      </c>
      <c r="B221" s="37"/>
      <c r="C221" s="10" t="s">
        <v>100</v>
      </c>
      <c r="D221" s="10"/>
      <c r="E221" s="19" t="s">
        <v>101</v>
      </c>
      <c r="F221" s="159" t="s">
        <v>11</v>
      </c>
      <c r="G221" s="303">
        <f t="shared" si="6"/>
        <v>11994.540559375002</v>
      </c>
      <c r="H221" s="268"/>
      <c r="I221" s="492">
        <f>'KIPP Assumptions'!$B$110</f>
        <v>1.4500000000000001E-2</v>
      </c>
      <c r="J221" s="487"/>
      <c r="K221" s="487"/>
      <c r="L221" s="491"/>
      <c r="M221" s="487"/>
      <c r="N221" s="487"/>
      <c r="O221" s="487"/>
      <c r="P221" s="487"/>
      <c r="Q221" s="237"/>
      <c r="R221" s="237"/>
      <c r="S221" s="237"/>
      <c r="T221" s="237"/>
      <c r="U221" s="102"/>
      <c r="V221" s="102"/>
      <c r="W221" s="102"/>
      <c r="X221" s="102"/>
      <c r="Y221" s="102"/>
    </row>
    <row r="222" spans="1:25" x14ac:dyDescent="0.2">
      <c r="A222" s="225">
        <v>161</v>
      </c>
      <c r="B222" s="37"/>
      <c r="C222" s="10" t="s">
        <v>219</v>
      </c>
      <c r="D222" s="10"/>
      <c r="E222" s="19" t="s">
        <v>220</v>
      </c>
      <c r="F222" s="159" t="s">
        <v>11</v>
      </c>
      <c r="G222" s="303">
        <f t="shared" si="6"/>
        <v>26577.492069844837</v>
      </c>
      <c r="H222" s="268"/>
      <c r="I222" s="492">
        <f>+'KIPP Assumptions'!$B$113</f>
        <v>3.21290868212155E-2</v>
      </c>
      <c r="J222" s="487"/>
      <c r="K222" s="487"/>
      <c r="L222" s="491"/>
      <c r="M222" s="487"/>
      <c r="N222" s="487"/>
      <c r="O222" s="487"/>
      <c r="P222" s="487"/>
      <c r="Q222" s="237"/>
      <c r="R222" s="237"/>
      <c r="S222" s="237"/>
      <c r="T222" s="237"/>
      <c r="U222" s="102"/>
      <c r="V222" s="102"/>
      <c r="W222" s="102"/>
      <c r="X222" s="102"/>
      <c r="Y222" s="102"/>
    </row>
    <row r="223" spans="1:25" x14ac:dyDescent="0.2">
      <c r="A223" s="225">
        <v>162</v>
      </c>
      <c r="B223" s="37"/>
      <c r="C223" s="10" t="s">
        <v>102</v>
      </c>
      <c r="D223" s="10"/>
      <c r="E223" s="19" t="s">
        <v>103</v>
      </c>
      <c r="F223" s="159" t="s">
        <v>11</v>
      </c>
      <c r="G223" s="303">
        <f t="shared" si="6"/>
        <v>827.20969375000016</v>
      </c>
      <c r="H223" s="268"/>
      <c r="I223" s="492">
        <f>+'KIPP Assumptions'!$B$112</f>
        <v>1E-3</v>
      </c>
      <c r="J223" s="487"/>
      <c r="K223" s="487"/>
      <c r="L223" s="491"/>
      <c r="M223" s="487"/>
      <c r="N223" s="487"/>
      <c r="O223" s="487"/>
      <c r="P223" s="487"/>
      <c r="Q223" s="237"/>
      <c r="R223" s="237"/>
      <c r="S223" s="237"/>
      <c r="T223" s="237"/>
      <c r="U223" s="102"/>
      <c r="V223" s="102"/>
      <c r="W223" s="102"/>
      <c r="X223" s="102"/>
      <c r="Y223" s="102"/>
    </row>
    <row r="224" spans="1:25" x14ac:dyDescent="0.2">
      <c r="A224" s="225">
        <v>163</v>
      </c>
      <c r="B224" s="37"/>
      <c r="C224" s="10" t="s">
        <v>104</v>
      </c>
      <c r="D224" s="10"/>
      <c r="E224" s="19" t="s">
        <v>105</v>
      </c>
      <c r="F224" s="159" t="s">
        <v>11</v>
      </c>
      <c r="G224" s="303"/>
      <c r="H224" s="268"/>
      <c r="I224" s="487"/>
      <c r="J224" s="487"/>
      <c r="K224" s="487"/>
      <c r="L224" s="491"/>
      <c r="M224" s="487"/>
      <c r="N224" s="487"/>
      <c r="O224" s="487"/>
      <c r="P224" s="487"/>
      <c r="Q224" s="237"/>
      <c r="R224" s="237"/>
      <c r="S224" s="237"/>
      <c r="T224" s="237"/>
      <c r="U224" s="102"/>
      <c r="V224" s="102"/>
      <c r="W224" s="102"/>
      <c r="X224" s="102"/>
      <c r="Y224" s="102"/>
    </row>
    <row r="225" spans="1:25" x14ac:dyDescent="0.2">
      <c r="A225" s="225">
        <v>164</v>
      </c>
      <c r="B225" s="37"/>
      <c r="C225" s="86" t="s">
        <v>283</v>
      </c>
      <c r="D225" s="10"/>
      <c r="E225" s="19"/>
      <c r="F225" s="159"/>
      <c r="G225" s="303"/>
      <c r="H225" s="268"/>
      <c r="I225" s="487"/>
      <c r="J225" s="487"/>
      <c r="K225" s="487"/>
      <c r="L225" s="491"/>
      <c r="M225" s="487"/>
      <c r="N225" s="487"/>
      <c r="O225" s="487"/>
      <c r="P225" s="487"/>
      <c r="Q225" s="237"/>
      <c r="R225" s="237"/>
      <c r="S225" s="237"/>
      <c r="T225" s="237"/>
      <c r="U225" s="102"/>
      <c r="V225" s="102"/>
      <c r="W225" s="102"/>
      <c r="X225" s="102"/>
      <c r="Y225" s="102"/>
    </row>
    <row r="226" spans="1:25" x14ac:dyDescent="0.2">
      <c r="A226" s="225">
        <v>165</v>
      </c>
      <c r="B226" s="37"/>
      <c r="C226" s="86"/>
      <c r="D226" s="10"/>
      <c r="E226" s="19"/>
      <c r="F226" s="159"/>
      <c r="G226" s="303"/>
      <c r="H226" s="268"/>
      <c r="I226" s="487"/>
      <c r="J226" s="487"/>
      <c r="K226" s="487"/>
      <c r="L226" s="491"/>
      <c r="M226" s="487"/>
      <c r="N226" s="487"/>
      <c r="O226" s="487"/>
      <c r="P226" s="487"/>
      <c r="Q226" s="237"/>
      <c r="R226" s="237"/>
      <c r="S226" s="237"/>
      <c r="T226" s="237"/>
      <c r="U226" s="102"/>
      <c r="V226" s="102"/>
      <c r="W226" s="102"/>
      <c r="X226" s="102"/>
      <c r="Y226" s="102"/>
    </row>
    <row r="227" spans="1:25" x14ac:dyDescent="0.2">
      <c r="A227" s="225">
        <v>166</v>
      </c>
      <c r="B227" s="84"/>
      <c r="D227" s="14"/>
      <c r="E227" s="15"/>
      <c r="F227" s="167"/>
      <c r="G227" s="315"/>
      <c r="H227" s="283"/>
      <c r="I227" s="487"/>
      <c r="J227" s="487"/>
      <c r="K227" s="487"/>
      <c r="L227" s="491"/>
      <c r="M227" s="487"/>
      <c r="N227" s="487"/>
      <c r="O227" s="487"/>
      <c r="P227" s="487"/>
      <c r="Q227" s="237"/>
      <c r="R227" s="237"/>
      <c r="S227" s="237"/>
      <c r="T227" s="237"/>
      <c r="U227" s="102"/>
      <c r="V227" s="102"/>
      <c r="W227" s="102"/>
      <c r="X227" s="102"/>
      <c r="Y227" s="102"/>
    </row>
    <row r="228" spans="1:25" ht="15" x14ac:dyDescent="0.25">
      <c r="A228" s="226">
        <v>167</v>
      </c>
      <c r="B228" s="88" t="s">
        <v>145</v>
      </c>
      <c r="C228" s="52"/>
      <c r="D228" s="52"/>
      <c r="E228" s="50"/>
      <c r="F228" s="163"/>
      <c r="G228" s="306">
        <f>SUM(G206:G227)</f>
        <v>1123154.6130044004</v>
      </c>
      <c r="H228" s="271"/>
      <c r="I228" s="487"/>
      <c r="J228" s="487"/>
      <c r="K228" s="487"/>
      <c r="L228" s="491"/>
      <c r="M228" s="487"/>
      <c r="N228" s="487"/>
      <c r="O228" s="487"/>
      <c r="P228" s="487"/>
      <c r="Q228" s="237"/>
      <c r="R228" s="237"/>
      <c r="S228" s="237"/>
      <c r="T228" s="237"/>
      <c r="U228" s="102"/>
      <c r="V228" s="102"/>
      <c r="W228" s="102"/>
      <c r="X228" s="102"/>
      <c r="Y228" s="102"/>
    </row>
    <row r="229" spans="1:25" ht="6.75" customHeight="1" x14ac:dyDescent="0.2">
      <c r="A229" s="230"/>
      <c r="B229" s="36"/>
      <c r="C229" s="13"/>
      <c r="D229" s="13"/>
      <c r="E229" s="17"/>
      <c r="F229" s="171"/>
      <c r="G229" s="319"/>
      <c r="H229" s="288"/>
      <c r="I229" s="487"/>
      <c r="J229" s="487"/>
      <c r="K229" s="487"/>
      <c r="L229" s="491"/>
      <c r="M229" s="487"/>
      <c r="N229" s="487"/>
      <c r="O229" s="487"/>
      <c r="P229" s="487"/>
      <c r="Q229" s="237"/>
      <c r="R229" s="237"/>
      <c r="S229" s="237"/>
      <c r="T229" s="237"/>
      <c r="U229" s="102"/>
      <c r="V229" s="102"/>
      <c r="W229" s="102"/>
      <c r="X229" s="102"/>
      <c r="Y229" s="102"/>
    </row>
    <row r="230" spans="1:25" s="5" customFormat="1" ht="15" x14ac:dyDescent="0.25">
      <c r="A230" s="225"/>
      <c r="B230" s="89" t="s">
        <v>27</v>
      </c>
      <c r="C230" s="54"/>
      <c r="D230" s="54"/>
      <c r="E230" s="64"/>
      <c r="F230" s="168"/>
      <c r="G230" s="316"/>
      <c r="H230" s="284"/>
      <c r="I230" s="489"/>
      <c r="J230" s="489"/>
      <c r="K230" s="489"/>
      <c r="L230" s="491"/>
      <c r="M230" s="489"/>
      <c r="N230" s="489"/>
      <c r="O230" s="489"/>
      <c r="P230" s="489"/>
      <c r="Q230" s="244"/>
      <c r="R230" s="244"/>
      <c r="S230" s="244"/>
      <c r="T230" s="244"/>
      <c r="U230" s="240"/>
      <c r="V230" s="240"/>
      <c r="W230" s="240"/>
      <c r="X230" s="240"/>
      <c r="Y230" s="240"/>
    </row>
    <row r="231" spans="1:25" x14ac:dyDescent="0.2">
      <c r="A231" s="225"/>
      <c r="B231" s="37">
        <v>90</v>
      </c>
      <c r="C231" s="10" t="s">
        <v>146</v>
      </c>
      <c r="D231" s="10"/>
      <c r="E231" s="68"/>
      <c r="F231" s="172"/>
      <c r="G231" s="320"/>
      <c r="H231" s="289"/>
      <c r="I231" s="487"/>
      <c r="J231" s="487"/>
      <c r="K231" s="487"/>
      <c r="L231" s="491"/>
      <c r="M231" s="487"/>
      <c r="N231" s="487"/>
      <c r="O231" s="487"/>
      <c r="P231" s="487"/>
      <c r="Q231" s="237"/>
      <c r="R231" s="237"/>
      <c r="S231" s="237"/>
      <c r="T231" s="237"/>
      <c r="U231" s="102"/>
      <c r="V231" s="102"/>
      <c r="W231" s="102"/>
      <c r="X231" s="102"/>
      <c r="Y231" s="102"/>
    </row>
    <row r="232" spans="1:25" x14ac:dyDescent="0.2">
      <c r="A232" s="225"/>
      <c r="B232" s="37"/>
      <c r="C232" s="10" t="s">
        <v>147</v>
      </c>
      <c r="D232" s="10"/>
      <c r="E232" s="72"/>
      <c r="F232" s="157"/>
      <c r="G232" s="301"/>
      <c r="H232" s="266"/>
      <c r="I232" s="487"/>
      <c r="J232" s="487"/>
      <c r="K232" s="487"/>
      <c r="L232" s="491"/>
      <c r="M232" s="487"/>
      <c r="N232" s="487"/>
      <c r="O232" s="487"/>
      <c r="P232" s="487"/>
      <c r="Q232" s="237"/>
      <c r="R232" s="237"/>
      <c r="S232" s="237"/>
      <c r="T232" s="237"/>
      <c r="U232" s="102"/>
      <c r="V232" s="102"/>
      <c r="W232" s="102"/>
      <c r="X232" s="102"/>
      <c r="Y232" s="102"/>
    </row>
    <row r="233" spans="1:25" x14ac:dyDescent="0.2">
      <c r="A233" s="225">
        <v>168</v>
      </c>
      <c r="B233" s="37"/>
      <c r="C233" s="10" t="s">
        <v>182</v>
      </c>
      <c r="D233" s="10" t="s">
        <v>76</v>
      </c>
      <c r="E233" s="19" t="s">
        <v>222</v>
      </c>
      <c r="F233" s="159" t="s">
        <v>244</v>
      </c>
      <c r="G233" s="303"/>
      <c r="H233" s="268"/>
      <c r="I233" s="487"/>
      <c r="J233" s="487"/>
      <c r="K233" s="487"/>
      <c r="L233" s="491"/>
      <c r="M233" s="487"/>
      <c r="N233" s="487"/>
      <c r="O233" s="487"/>
      <c r="P233" s="487"/>
      <c r="Q233" s="237"/>
      <c r="R233" s="237"/>
      <c r="S233" s="237"/>
      <c r="T233" s="237"/>
      <c r="U233" s="102"/>
      <c r="V233" s="102"/>
      <c r="W233" s="102"/>
      <c r="X233" s="102"/>
      <c r="Y233" s="102"/>
    </row>
    <row r="234" spans="1:25" x14ac:dyDescent="0.2">
      <c r="A234" s="225">
        <v>169</v>
      </c>
      <c r="B234" s="37"/>
      <c r="C234" s="10"/>
      <c r="D234" s="10" t="s">
        <v>83</v>
      </c>
      <c r="E234" s="19" t="s">
        <v>84</v>
      </c>
      <c r="F234" s="159" t="s">
        <v>148</v>
      </c>
      <c r="G234" s="303">
        <v>62771.124423963134</v>
      </c>
      <c r="H234" s="268" t="s">
        <v>521</v>
      </c>
      <c r="I234" s="487"/>
      <c r="J234" s="491"/>
      <c r="K234" s="487"/>
      <c r="L234" s="491"/>
      <c r="M234" s="487"/>
      <c r="N234" s="500"/>
      <c r="O234" s="487"/>
      <c r="P234" s="487"/>
      <c r="Q234" s="237"/>
      <c r="R234" s="237"/>
      <c r="S234" s="237"/>
      <c r="T234" s="237"/>
      <c r="U234" s="102"/>
      <c r="V234" s="102"/>
      <c r="W234" s="102"/>
      <c r="X234" s="102"/>
      <c r="Y234" s="102"/>
    </row>
    <row r="235" spans="1:25" x14ac:dyDescent="0.2">
      <c r="A235" s="225">
        <v>170</v>
      </c>
      <c r="B235" s="37"/>
      <c r="C235" s="10"/>
      <c r="D235" s="10" t="s">
        <v>297</v>
      </c>
      <c r="E235" s="19" t="s">
        <v>149</v>
      </c>
      <c r="F235" s="159" t="s">
        <v>148</v>
      </c>
      <c r="G235" s="303"/>
      <c r="H235" s="268"/>
      <c r="I235" s="487"/>
      <c r="J235" s="487"/>
      <c r="K235" s="487"/>
      <c r="L235" s="491"/>
      <c r="M235" s="487"/>
      <c r="N235" s="491"/>
      <c r="O235" s="487"/>
      <c r="P235" s="487"/>
      <c r="Q235" s="237"/>
      <c r="R235" s="237"/>
      <c r="S235" s="237"/>
      <c r="T235" s="237"/>
      <c r="U235" s="102"/>
      <c r="V235" s="102"/>
      <c r="W235" s="102"/>
      <c r="X235" s="102"/>
      <c r="Y235" s="102"/>
    </row>
    <row r="236" spans="1:25" x14ac:dyDescent="0.2">
      <c r="A236" s="225">
        <v>171</v>
      </c>
      <c r="B236" s="37"/>
      <c r="C236" s="10"/>
      <c r="D236" s="10" t="s">
        <v>85</v>
      </c>
      <c r="E236" s="19" t="s">
        <v>86</v>
      </c>
      <c r="F236" s="159" t="s">
        <v>148</v>
      </c>
      <c r="G236" s="303"/>
      <c r="H236" s="268"/>
      <c r="I236" s="487"/>
      <c r="J236" s="487"/>
      <c r="K236" s="487"/>
      <c r="L236" s="491"/>
      <c r="M236" s="487"/>
      <c r="N236" s="491"/>
      <c r="O236" s="487"/>
      <c r="P236" s="487"/>
      <c r="Q236" s="237"/>
      <c r="R236" s="237"/>
      <c r="S236" s="237"/>
      <c r="T236" s="237"/>
      <c r="U236" s="102"/>
      <c r="V236" s="102"/>
      <c r="W236" s="102"/>
      <c r="X236" s="102"/>
      <c r="Y236" s="102"/>
    </row>
    <row r="237" spans="1:25" x14ac:dyDescent="0.2">
      <c r="A237" s="225">
        <v>172</v>
      </c>
      <c r="B237" s="37"/>
      <c r="C237" s="10"/>
      <c r="D237" s="10" t="s">
        <v>111</v>
      </c>
      <c r="E237" s="19" t="s">
        <v>112</v>
      </c>
      <c r="F237" s="159" t="s">
        <v>148</v>
      </c>
      <c r="G237" s="303"/>
      <c r="H237" s="268"/>
      <c r="I237" s="487"/>
      <c r="J237" s="487"/>
      <c r="K237" s="487"/>
      <c r="L237" s="491"/>
      <c r="M237" s="487"/>
      <c r="N237" s="487"/>
      <c r="O237" s="487"/>
      <c r="P237" s="487"/>
      <c r="Q237" s="237"/>
      <c r="R237" s="237"/>
      <c r="S237" s="237"/>
      <c r="T237" s="237"/>
      <c r="U237" s="102"/>
      <c r="V237" s="102"/>
      <c r="W237" s="102"/>
      <c r="X237" s="102"/>
      <c r="Y237" s="102"/>
    </row>
    <row r="238" spans="1:25" x14ac:dyDescent="0.2">
      <c r="A238" s="225">
        <v>173</v>
      </c>
      <c r="B238" s="37"/>
      <c r="C238" s="10"/>
      <c r="D238" s="10" t="s">
        <v>150</v>
      </c>
      <c r="E238" s="19" t="s">
        <v>144</v>
      </c>
      <c r="F238" s="159" t="s">
        <v>148</v>
      </c>
      <c r="G238" s="303"/>
      <c r="H238" s="268"/>
      <c r="I238" s="487"/>
      <c r="J238" s="487"/>
      <c r="K238" s="487"/>
      <c r="L238" s="491"/>
      <c r="M238" s="487"/>
      <c r="N238" s="487"/>
      <c r="O238" s="487"/>
      <c r="P238" s="487"/>
      <c r="Q238" s="237"/>
      <c r="R238" s="237"/>
      <c r="S238" s="237"/>
      <c r="T238" s="237"/>
      <c r="U238" s="102"/>
      <c r="V238" s="102"/>
      <c r="W238" s="102"/>
      <c r="X238" s="102"/>
      <c r="Y238" s="102"/>
    </row>
    <row r="239" spans="1:25" x14ac:dyDescent="0.2">
      <c r="A239" s="225">
        <v>174</v>
      </c>
      <c r="B239" s="37"/>
      <c r="C239" s="10"/>
      <c r="D239" s="10" t="s">
        <v>131</v>
      </c>
      <c r="E239" s="19" t="s">
        <v>132</v>
      </c>
      <c r="F239" s="159" t="s">
        <v>148</v>
      </c>
      <c r="G239" s="303"/>
      <c r="H239" s="268"/>
      <c r="I239" s="487"/>
      <c r="J239" s="487"/>
      <c r="K239" s="487"/>
      <c r="L239" s="491"/>
      <c r="M239" s="487"/>
      <c r="N239" s="487"/>
      <c r="O239" s="487"/>
      <c r="P239" s="487"/>
      <c r="Q239" s="237"/>
      <c r="R239" s="237"/>
      <c r="S239" s="237"/>
      <c r="T239" s="237"/>
      <c r="U239" s="102"/>
      <c r="V239" s="102"/>
      <c r="W239" s="102"/>
      <c r="X239" s="102"/>
      <c r="Y239" s="102"/>
    </row>
    <row r="240" spans="1:25" x14ac:dyDescent="0.2">
      <c r="A240" s="225">
        <v>175</v>
      </c>
      <c r="B240" s="37"/>
      <c r="C240" s="10"/>
      <c r="D240" s="10" t="s">
        <v>87</v>
      </c>
      <c r="E240" s="19" t="s">
        <v>88</v>
      </c>
      <c r="F240" s="159" t="s">
        <v>148</v>
      </c>
      <c r="G240" s="303"/>
      <c r="H240" s="268"/>
      <c r="I240" s="487"/>
      <c r="J240" s="487"/>
      <c r="K240" s="487"/>
      <c r="L240" s="491"/>
      <c r="M240" s="487"/>
      <c r="N240" s="487"/>
      <c r="O240" s="487"/>
      <c r="P240" s="487"/>
      <c r="Q240" s="237"/>
      <c r="R240" s="237"/>
      <c r="S240" s="237"/>
      <c r="T240" s="237"/>
      <c r="U240" s="102"/>
      <c r="V240" s="102"/>
      <c r="W240" s="102"/>
      <c r="X240" s="102"/>
      <c r="Y240" s="102"/>
    </row>
    <row r="241" spans="1:25" x14ac:dyDescent="0.2">
      <c r="A241" s="225">
        <v>176</v>
      </c>
      <c r="B241" s="37"/>
      <c r="C241" s="10"/>
      <c r="D241" s="10" t="s">
        <v>110</v>
      </c>
      <c r="E241" s="19" t="s">
        <v>90</v>
      </c>
      <c r="F241" s="159" t="s">
        <v>148</v>
      </c>
      <c r="G241" s="303"/>
      <c r="H241" s="268"/>
      <c r="I241" s="487"/>
      <c r="J241" s="487"/>
      <c r="K241" s="487"/>
      <c r="L241" s="491"/>
      <c r="M241" s="487"/>
      <c r="N241" s="487"/>
      <c r="O241" s="487"/>
      <c r="P241" s="487"/>
      <c r="Q241" s="237"/>
      <c r="R241" s="237"/>
      <c r="S241" s="237"/>
      <c r="T241" s="237"/>
      <c r="U241" s="102"/>
      <c r="V241" s="102"/>
      <c r="W241" s="102"/>
      <c r="X241" s="102"/>
      <c r="Y241" s="102"/>
    </row>
    <row r="242" spans="1:25" x14ac:dyDescent="0.2">
      <c r="A242" s="225">
        <v>177</v>
      </c>
      <c r="B242" s="37"/>
      <c r="C242" s="10"/>
      <c r="D242" s="10" t="s">
        <v>93</v>
      </c>
      <c r="E242" s="19" t="s">
        <v>94</v>
      </c>
      <c r="F242" s="159" t="s">
        <v>148</v>
      </c>
      <c r="G242" s="303"/>
      <c r="H242" s="268"/>
      <c r="I242" s="487"/>
      <c r="J242" s="487"/>
      <c r="K242" s="487"/>
      <c r="L242" s="491"/>
      <c r="M242" s="487"/>
      <c r="N242" s="487"/>
      <c r="O242" s="487"/>
      <c r="P242" s="487"/>
      <c r="Q242" s="237"/>
      <c r="R242" s="237"/>
      <c r="S242" s="237"/>
      <c r="T242" s="237"/>
      <c r="U242" s="102"/>
      <c r="V242" s="102"/>
      <c r="W242" s="102"/>
      <c r="X242" s="102"/>
      <c r="Y242" s="102"/>
    </row>
    <row r="243" spans="1:25" x14ac:dyDescent="0.2">
      <c r="A243" s="225">
        <v>178</v>
      </c>
      <c r="B243" s="37"/>
      <c r="C243" s="10"/>
      <c r="D243" s="10" t="s">
        <v>151</v>
      </c>
      <c r="E243" s="19" t="s">
        <v>152</v>
      </c>
      <c r="F243" s="159" t="s">
        <v>153</v>
      </c>
      <c r="G243" s="303"/>
      <c r="H243" s="268"/>
      <c r="I243" s="487"/>
      <c r="J243" s="487"/>
      <c r="K243" s="487"/>
      <c r="L243" s="491"/>
      <c r="M243" s="487"/>
      <c r="N243" s="487"/>
      <c r="O243" s="487"/>
      <c r="P243" s="487"/>
      <c r="Q243" s="237"/>
      <c r="R243" s="237"/>
      <c r="S243" s="237"/>
      <c r="T243" s="237"/>
      <c r="U243" s="102"/>
      <c r="V243" s="102"/>
      <c r="W243" s="102"/>
      <c r="X243" s="102"/>
      <c r="Y243" s="102"/>
    </row>
    <row r="244" spans="1:25" x14ac:dyDescent="0.2">
      <c r="A244" s="225">
        <v>179</v>
      </c>
      <c r="B244" s="37"/>
      <c r="C244" s="10"/>
      <c r="D244" s="10" t="s">
        <v>95</v>
      </c>
      <c r="E244" s="19" t="s">
        <v>96</v>
      </c>
      <c r="F244" s="159" t="s">
        <v>148</v>
      </c>
      <c r="G244" s="303"/>
      <c r="H244" s="268"/>
      <c r="I244" s="487"/>
      <c r="J244" s="487"/>
      <c r="K244" s="487"/>
      <c r="L244" s="491"/>
      <c r="M244" s="487"/>
      <c r="N244" s="487"/>
      <c r="O244" s="487"/>
      <c r="P244" s="487"/>
      <c r="Q244" s="237"/>
      <c r="R244" s="237"/>
      <c r="S244" s="237"/>
      <c r="T244" s="237"/>
      <c r="U244" s="102"/>
      <c r="V244" s="102"/>
      <c r="W244" s="102"/>
      <c r="X244" s="102"/>
      <c r="Y244" s="102"/>
    </row>
    <row r="245" spans="1:25" x14ac:dyDescent="0.2">
      <c r="A245" s="225">
        <v>180</v>
      </c>
      <c r="B245" s="37"/>
      <c r="C245" s="10"/>
      <c r="D245" s="10" t="s">
        <v>295</v>
      </c>
      <c r="E245" s="19" t="s">
        <v>97</v>
      </c>
      <c r="F245" s="159" t="s">
        <v>244</v>
      </c>
      <c r="G245" s="303"/>
      <c r="H245" s="268"/>
      <c r="I245" s="487"/>
      <c r="J245" s="487"/>
      <c r="K245" s="487"/>
      <c r="L245" s="491"/>
      <c r="M245" s="487"/>
      <c r="N245" s="487"/>
      <c r="O245" s="487"/>
      <c r="P245" s="487"/>
      <c r="Q245" s="237"/>
      <c r="R245" s="237"/>
      <c r="S245" s="237"/>
      <c r="T245" s="237"/>
      <c r="U245" s="102"/>
      <c r="V245" s="102"/>
      <c r="W245" s="102"/>
      <c r="X245" s="102"/>
      <c r="Y245" s="102"/>
    </row>
    <row r="246" spans="1:25" x14ac:dyDescent="0.2">
      <c r="A246" s="225">
        <v>181</v>
      </c>
      <c r="B246" s="37"/>
      <c r="C246" s="10"/>
      <c r="D246" s="10" t="s">
        <v>98</v>
      </c>
      <c r="E246" s="19" t="s">
        <v>99</v>
      </c>
      <c r="F246" s="159" t="s">
        <v>244</v>
      </c>
      <c r="G246" s="303"/>
      <c r="H246" s="268"/>
      <c r="I246" s="487"/>
      <c r="J246" s="487"/>
      <c r="K246" s="487"/>
      <c r="L246" s="491"/>
      <c r="M246" s="487"/>
      <c r="N246" s="487"/>
      <c r="O246" s="487"/>
      <c r="P246" s="487"/>
      <c r="Q246" s="237"/>
      <c r="R246" s="237"/>
      <c r="S246" s="237"/>
      <c r="T246" s="237"/>
      <c r="U246" s="102"/>
      <c r="V246" s="102"/>
      <c r="W246" s="102"/>
      <c r="X246" s="102"/>
      <c r="Y246" s="102"/>
    </row>
    <row r="247" spans="1:25" x14ac:dyDescent="0.2">
      <c r="A247" s="225">
        <v>182</v>
      </c>
      <c r="B247" s="37"/>
      <c r="C247" s="10"/>
      <c r="D247" s="10" t="s">
        <v>100</v>
      </c>
      <c r="E247" s="19" t="s">
        <v>101</v>
      </c>
      <c r="F247" s="159" t="s">
        <v>244</v>
      </c>
      <c r="G247" s="303"/>
      <c r="H247" s="268"/>
      <c r="I247" s="487"/>
      <c r="J247" s="487"/>
      <c r="K247" s="487"/>
      <c r="L247" s="491"/>
      <c r="M247" s="487"/>
      <c r="N247" s="487"/>
      <c r="O247" s="487"/>
      <c r="P247" s="487"/>
      <c r="Q247" s="237"/>
      <c r="R247" s="237"/>
      <c r="S247" s="237"/>
      <c r="T247" s="237"/>
      <c r="U247" s="102"/>
      <c r="V247" s="102"/>
      <c r="W247" s="102"/>
      <c r="X247" s="102"/>
      <c r="Y247" s="102"/>
    </row>
    <row r="248" spans="1:25" x14ac:dyDescent="0.2">
      <c r="A248" s="225">
        <v>183</v>
      </c>
      <c r="B248" s="37"/>
      <c r="C248" s="10"/>
      <c r="D248" s="10" t="s">
        <v>219</v>
      </c>
      <c r="E248" s="19" t="s">
        <v>220</v>
      </c>
      <c r="F248" s="159" t="s">
        <v>244</v>
      </c>
      <c r="G248" s="303"/>
      <c r="H248" s="268"/>
      <c r="I248" s="487"/>
      <c r="J248" s="487"/>
      <c r="K248" s="487"/>
      <c r="L248" s="491"/>
      <c r="M248" s="487"/>
      <c r="N248" s="487"/>
      <c r="O248" s="487"/>
      <c r="P248" s="487"/>
      <c r="Q248" s="237"/>
      <c r="R248" s="237"/>
      <c r="S248" s="237"/>
      <c r="T248" s="237"/>
      <c r="U248" s="102"/>
      <c r="V248" s="102"/>
      <c r="W248" s="102"/>
      <c r="X248" s="102"/>
      <c r="Y248" s="102"/>
    </row>
    <row r="249" spans="1:25" x14ac:dyDescent="0.2">
      <c r="A249" s="225">
        <v>184</v>
      </c>
      <c r="B249" s="37"/>
      <c r="C249" s="10"/>
      <c r="D249" s="10" t="s">
        <v>102</v>
      </c>
      <c r="E249" s="19" t="s">
        <v>103</v>
      </c>
      <c r="F249" s="159" t="s">
        <v>244</v>
      </c>
      <c r="G249" s="303"/>
      <c r="H249" s="268"/>
      <c r="I249" s="487"/>
      <c r="J249" s="487"/>
      <c r="K249" s="487"/>
      <c r="L249" s="491"/>
      <c r="M249" s="487"/>
      <c r="N249" s="487"/>
      <c r="O249" s="487"/>
      <c r="P249" s="487"/>
      <c r="Q249" s="237"/>
      <c r="R249" s="237"/>
      <c r="S249" s="237"/>
      <c r="T249" s="237"/>
      <c r="U249" s="102"/>
      <c r="V249" s="102"/>
      <c r="W249" s="102"/>
      <c r="X249" s="102"/>
      <c r="Y249" s="102"/>
    </row>
    <row r="250" spans="1:25" x14ac:dyDescent="0.2">
      <c r="A250" s="225">
        <v>185</v>
      </c>
      <c r="B250" s="37"/>
      <c r="C250" s="10"/>
      <c r="D250" s="10" t="s">
        <v>104</v>
      </c>
      <c r="E250" s="19" t="s">
        <v>105</v>
      </c>
      <c r="F250" s="159" t="s">
        <v>244</v>
      </c>
      <c r="G250" s="303"/>
      <c r="H250" s="268"/>
      <c r="I250" s="487"/>
      <c r="J250" s="487"/>
      <c r="K250" s="487"/>
      <c r="L250" s="491"/>
      <c r="M250" s="487"/>
      <c r="N250" s="487"/>
      <c r="O250" s="487"/>
      <c r="P250" s="487"/>
      <c r="Q250" s="237"/>
      <c r="R250" s="237"/>
      <c r="S250" s="237"/>
      <c r="T250" s="237"/>
      <c r="U250" s="102"/>
      <c r="V250" s="102"/>
      <c r="W250" s="102"/>
      <c r="X250" s="102"/>
      <c r="Y250" s="102"/>
    </row>
    <row r="251" spans="1:25" x14ac:dyDescent="0.2">
      <c r="A251" s="225">
        <v>186</v>
      </c>
      <c r="B251" s="37"/>
      <c r="C251" s="86"/>
      <c r="D251" s="10"/>
      <c r="E251" s="19"/>
      <c r="F251" s="159"/>
      <c r="G251" s="303"/>
      <c r="H251" s="268"/>
      <c r="I251" s="487"/>
      <c r="J251" s="487"/>
      <c r="K251" s="487"/>
      <c r="L251" s="491"/>
      <c r="M251" s="487"/>
      <c r="N251" s="487"/>
      <c r="O251" s="487"/>
      <c r="P251" s="487"/>
      <c r="Q251" s="237"/>
      <c r="R251" s="237"/>
      <c r="S251" s="237"/>
      <c r="T251" s="237"/>
      <c r="U251" s="102"/>
      <c r="V251" s="102"/>
      <c r="W251" s="102"/>
      <c r="X251" s="102"/>
      <c r="Y251" s="102"/>
    </row>
    <row r="252" spans="1:25" x14ac:dyDescent="0.2">
      <c r="A252" s="225">
        <v>187</v>
      </c>
      <c r="B252" s="84"/>
      <c r="D252" s="14"/>
      <c r="E252" s="15"/>
      <c r="F252" s="167"/>
      <c r="G252" s="315"/>
      <c r="H252" s="283"/>
      <c r="I252" s="487"/>
      <c r="J252" s="487"/>
      <c r="K252" s="487"/>
      <c r="L252" s="491"/>
      <c r="M252" s="487"/>
      <c r="N252" s="487"/>
      <c r="O252" s="487"/>
      <c r="P252" s="487"/>
      <c r="Q252" s="237"/>
      <c r="R252" s="237"/>
      <c r="S252" s="237"/>
      <c r="T252" s="237"/>
      <c r="U252" s="102"/>
      <c r="V252" s="102"/>
      <c r="W252" s="102"/>
      <c r="X252" s="102"/>
      <c r="Y252" s="102"/>
    </row>
    <row r="253" spans="1:25" x14ac:dyDescent="0.2">
      <c r="A253" s="226">
        <v>188</v>
      </c>
      <c r="B253" s="88" t="s">
        <v>154</v>
      </c>
      <c r="C253" s="7"/>
      <c r="D253" s="7"/>
      <c r="E253" s="50"/>
      <c r="F253" s="163"/>
      <c r="G253" s="306">
        <f>SUM(G231:G252)</f>
        <v>62771.124423963134</v>
      </c>
      <c r="H253" s="271"/>
      <c r="I253" s="487"/>
      <c r="J253" s="487"/>
      <c r="K253" s="487"/>
      <c r="L253" s="491"/>
      <c r="M253" s="487"/>
      <c r="N253" s="487"/>
      <c r="O253" s="487"/>
      <c r="P253" s="487"/>
      <c r="Q253" s="237"/>
      <c r="R253" s="237"/>
      <c r="S253" s="237"/>
      <c r="T253" s="237"/>
      <c r="U253" s="102"/>
      <c r="V253" s="102"/>
      <c r="W253" s="102"/>
      <c r="X253" s="102"/>
      <c r="Y253" s="102"/>
    </row>
    <row r="254" spans="1:25" x14ac:dyDescent="0.2">
      <c r="A254" s="230"/>
      <c r="B254" s="36"/>
      <c r="C254" s="13"/>
      <c r="D254" s="13"/>
      <c r="E254" s="72"/>
      <c r="F254" s="157"/>
      <c r="G254" s="301"/>
      <c r="H254" s="266"/>
      <c r="I254" s="487"/>
      <c r="J254" s="487"/>
      <c r="K254" s="487"/>
      <c r="L254" s="491"/>
      <c r="M254" s="487"/>
      <c r="N254" s="487"/>
      <c r="O254" s="487"/>
      <c r="P254" s="487"/>
      <c r="Q254" s="237"/>
      <c r="R254" s="237"/>
      <c r="S254" s="237"/>
      <c r="T254" s="237"/>
      <c r="U254" s="102"/>
      <c r="V254" s="102"/>
      <c r="W254" s="102"/>
      <c r="X254" s="102"/>
      <c r="Y254" s="102"/>
    </row>
    <row r="255" spans="1:25" s="5" customFormat="1" ht="15" x14ac:dyDescent="0.25">
      <c r="A255" s="225"/>
      <c r="B255" s="89" t="s">
        <v>28</v>
      </c>
      <c r="C255" s="54"/>
      <c r="D255" s="54"/>
      <c r="E255" s="78"/>
      <c r="F255" s="170"/>
      <c r="G255" s="318"/>
      <c r="H255" s="286"/>
      <c r="I255" s="489"/>
      <c r="J255" s="489"/>
      <c r="K255" s="489"/>
      <c r="L255" s="491"/>
      <c r="M255" s="489"/>
      <c r="N255" s="489"/>
      <c r="O255" s="489"/>
      <c r="P255" s="489"/>
      <c r="Q255" s="244"/>
      <c r="R255" s="244"/>
      <c r="S255" s="244"/>
      <c r="T255" s="244"/>
      <c r="U255" s="240"/>
      <c r="V255" s="240"/>
      <c r="W255" s="240"/>
      <c r="X255" s="240"/>
      <c r="Y255" s="240"/>
    </row>
    <row r="256" spans="1:25" x14ac:dyDescent="0.2">
      <c r="A256" s="225">
        <v>189</v>
      </c>
      <c r="B256" s="37"/>
      <c r="C256" s="10" t="s">
        <v>298</v>
      </c>
      <c r="D256" s="10"/>
      <c r="E256" s="19" t="s">
        <v>222</v>
      </c>
      <c r="F256" s="159" t="s">
        <v>245</v>
      </c>
      <c r="G256" s="303">
        <f>+I256*J256</f>
        <v>0</v>
      </c>
      <c r="H256" s="268" t="s">
        <v>519</v>
      </c>
      <c r="I256" s="493"/>
      <c r="J256" s="314"/>
      <c r="K256" s="487"/>
      <c r="L256" s="491"/>
      <c r="M256" s="487"/>
      <c r="N256" s="487"/>
      <c r="O256" s="487"/>
      <c r="P256" s="487"/>
      <c r="Q256" s="237"/>
      <c r="R256" s="237"/>
      <c r="S256" s="237"/>
      <c r="T256" s="237"/>
      <c r="U256" s="102"/>
      <c r="V256" s="102"/>
      <c r="W256" s="102"/>
      <c r="X256" s="102"/>
      <c r="Y256" s="102"/>
    </row>
    <row r="257" spans="1:25" x14ac:dyDescent="0.2">
      <c r="A257" s="225">
        <v>190</v>
      </c>
      <c r="B257" s="37"/>
      <c r="C257" s="10" t="s">
        <v>83</v>
      </c>
      <c r="D257" s="10"/>
      <c r="E257" s="19" t="s">
        <v>84</v>
      </c>
      <c r="F257" s="159" t="s">
        <v>156</v>
      </c>
      <c r="G257" s="303"/>
      <c r="H257" s="268"/>
      <c r="I257" s="487"/>
      <c r="J257" s="487"/>
      <c r="K257" s="487"/>
      <c r="L257" s="491"/>
      <c r="M257" s="487"/>
      <c r="N257" s="487"/>
      <c r="O257" s="487"/>
      <c r="P257" s="487"/>
      <c r="Q257" s="237"/>
      <c r="R257" s="237"/>
      <c r="S257" s="237"/>
      <c r="T257" s="237"/>
      <c r="U257" s="102"/>
      <c r="V257" s="102"/>
      <c r="W257" s="102"/>
      <c r="X257" s="102"/>
      <c r="Y257" s="102"/>
    </row>
    <row r="258" spans="1:25" x14ac:dyDescent="0.2">
      <c r="A258" s="225">
        <v>191</v>
      </c>
      <c r="B258" s="37"/>
      <c r="C258" s="10" t="s">
        <v>111</v>
      </c>
      <c r="D258" s="10"/>
      <c r="E258" s="19" t="s">
        <v>112</v>
      </c>
      <c r="F258" s="159" t="s">
        <v>157</v>
      </c>
      <c r="G258" s="303">
        <v>44737.200000000004</v>
      </c>
      <c r="H258" s="268" t="s">
        <v>468</v>
      </c>
      <c r="I258" s="487"/>
      <c r="J258" s="491"/>
      <c r="K258" s="487"/>
      <c r="L258" s="491"/>
      <c r="M258" s="487"/>
      <c r="N258" s="487"/>
      <c r="O258" s="487"/>
      <c r="P258" s="487"/>
      <c r="Q258" s="237"/>
      <c r="R258" s="237"/>
      <c r="S258" s="237"/>
      <c r="T258" s="237"/>
      <c r="U258" s="102"/>
      <c r="V258" s="102"/>
      <c r="W258" s="102"/>
      <c r="X258" s="102"/>
      <c r="Y258" s="102"/>
    </row>
    <row r="259" spans="1:25" x14ac:dyDescent="0.2">
      <c r="A259" s="225">
        <v>192</v>
      </c>
      <c r="B259" s="37"/>
      <c r="C259" s="10" t="s">
        <v>158</v>
      </c>
      <c r="D259" s="10"/>
      <c r="E259" s="19" t="s">
        <v>159</v>
      </c>
      <c r="F259" s="159" t="s">
        <v>156</v>
      </c>
      <c r="G259" s="303"/>
      <c r="H259" s="268"/>
      <c r="I259" s="487"/>
      <c r="J259" s="487"/>
      <c r="K259" s="487"/>
      <c r="L259" s="491"/>
      <c r="M259" s="487"/>
      <c r="N259" s="487"/>
      <c r="O259" s="487"/>
      <c r="P259" s="487"/>
      <c r="Q259" s="237"/>
      <c r="R259" s="237"/>
      <c r="S259" s="237"/>
      <c r="T259" s="237"/>
      <c r="U259" s="102"/>
      <c r="V259" s="102"/>
      <c r="W259" s="102"/>
      <c r="X259" s="102"/>
      <c r="Y259" s="102"/>
    </row>
    <row r="260" spans="1:25" x14ac:dyDescent="0.2">
      <c r="A260" s="225">
        <v>193</v>
      </c>
      <c r="B260" s="37"/>
      <c r="C260" s="10" t="s">
        <v>110</v>
      </c>
      <c r="D260" s="10"/>
      <c r="E260" s="19" t="s">
        <v>90</v>
      </c>
      <c r="F260" s="159" t="s">
        <v>156</v>
      </c>
      <c r="G260" s="303"/>
      <c r="H260" s="268"/>
      <c r="I260" s="487"/>
      <c r="J260" s="487"/>
      <c r="K260" s="487"/>
      <c r="L260" s="491"/>
      <c r="M260" s="487"/>
      <c r="N260" s="487"/>
      <c r="O260" s="487"/>
      <c r="P260" s="487"/>
      <c r="Q260" s="237"/>
      <c r="R260" s="237"/>
      <c r="S260" s="237"/>
      <c r="T260" s="237"/>
      <c r="U260" s="102"/>
      <c r="V260" s="102"/>
      <c r="W260" s="102"/>
      <c r="X260" s="102"/>
      <c r="Y260" s="102"/>
    </row>
    <row r="261" spans="1:25" x14ac:dyDescent="0.2">
      <c r="A261" s="225">
        <v>194</v>
      </c>
      <c r="B261" s="37"/>
      <c r="C261" s="10" t="s">
        <v>160</v>
      </c>
      <c r="D261" s="10"/>
      <c r="E261" s="19" t="s">
        <v>115</v>
      </c>
      <c r="F261" s="159" t="s">
        <v>156</v>
      </c>
      <c r="G261" s="303"/>
      <c r="H261" s="268"/>
      <c r="I261" s="487"/>
      <c r="J261" s="487"/>
      <c r="K261" s="487"/>
      <c r="L261" s="491"/>
      <c r="M261" s="487"/>
      <c r="N261" s="487"/>
      <c r="O261" s="487"/>
      <c r="P261" s="487"/>
      <c r="Q261" s="237"/>
      <c r="R261" s="237"/>
      <c r="S261" s="237"/>
      <c r="T261" s="237"/>
      <c r="U261" s="102"/>
      <c r="V261" s="102"/>
      <c r="W261" s="102"/>
      <c r="X261" s="102"/>
      <c r="Y261" s="102"/>
    </row>
    <row r="262" spans="1:25" x14ac:dyDescent="0.2">
      <c r="A262" s="225">
        <v>195</v>
      </c>
      <c r="B262" s="37"/>
      <c r="C262" s="10" t="s">
        <v>93</v>
      </c>
      <c r="D262" s="10"/>
      <c r="E262" s="19" t="s">
        <v>94</v>
      </c>
      <c r="F262" s="159" t="s">
        <v>156</v>
      </c>
      <c r="G262" s="303"/>
      <c r="H262" s="268"/>
      <c r="I262" s="487"/>
      <c r="J262" s="487"/>
      <c r="K262" s="487"/>
      <c r="L262" s="491"/>
      <c r="M262" s="487"/>
      <c r="N262" s="487"/>
      <c r="O262" s="487"/>
      <c r="P262" s="487"/>
      <c r="Q262" s="237"/>
      <c r="R262" s="237"/>
      <c r="S262" s="237"/>
      <c r="T262" s="237"/>
      <c r="U262" s="102"/>
      <c r="V262" s="102"/>
      <c r="W262" s="102"/>
      <c r="X262" s="102"/>
      <c r="Y262" s="102"/>
    </row>
    <row r="263" spans="1:25" x14ac:dyDescent="0.2">
      <c r="A263" s="225">
        <v>196</v>
      </c>
      <c r="B263" s="37"/>
      <c r="C263" s="10" t="s">
        <v>95</v>
      </c>
      <c r="D263" s="10"/>
      <c r="E263" s="19" t="s">
        <v>96</v>
      </c>
      <c r="F263" s="159" t="s">
        <v>156</v>
      </c>
      <c r="G263" s="303"/>
      <c r="H263" s="268"/>
      <c r="I263" s="487"/>
      <c r="J263" s="487"/>
      <c r="K263" s="487"/>
      <c r="L263" s="491"/>
      <c r="M263" s="487"/>
      <c r="N263" s="487"/>
      <c r="O263" s="487"/>
      <c r="P263" s="487"/>
      <c r="Q263" s="237"/>
      <c r="R263" s="237"/>
      <c r="S263" s="237"/>
      <c r="T263" s="237"/>
      <c r="U263" s="102"/>
      <c r="V263" s="102"/>
      <c r="W263" s="102"/>
      <c r="X263" s="102"/>
      <c r="Y263" s="102"/>
    </row>
    <row r="264" spans="1:25" x14ac:dyDescent="0.2">
      <c r="A264" s="225"/>
      <c r="B264" s="37"/>
      <c r="C264" s="10" t="s">
        <v>161</v>
      </c>
      <c r="D264" s="10"/>
      <c r="E264" s="62"/>
      <c r="F264" s="158"/>
      <c r="G264" s="302"/>
      <c r="H264" s="267"/>
      <c r="I264" s="487"/>
      <c r="J264" s="487"/>
      <c r="K264" s="487"/>
      <c r="L264" s="491"/>
      <c r="M264" s="487"/>
      <c r="N264" s="487"/>
      <c r="O264" s="487"/>
      <c r="P264" s="487"/>
      <c r="Q264" s="237"/>
      <c r="R264" s="237"/>
      <c r="S264" s="237"/>
      <c r="T264" s="237"/>
      <c r="U264" s="102"/>
      <c r="V264" s="102"/>
      <c r="W264" s="102"/>
      <c r="X264" s="102"/>
      <c r="Y264" s="102"/>
    </row>
    <row r="265" spans="1:25" x14ac:dyDescent="0.2">
      <c r="A265" s="225">
        <v>197</v>
      </c>
      <c r="B265" s="37"/>
      <c r="C265" s="10"/>
      <c r="D265" s="10" t="s">
        <v>162</v>
      </c>
      <c r="E265" s="19" t="s">
        <v>159</v>
      </c>
      <c r="F265" s="159" t="s">
        <v>155</v>
      </c>
      <c r="G265" s="303"/>
      <c r="H265" s="268"/>
      <c r="I265" s="487"/>
      <c r="J265" s="487"/>
      <c r="K265" s="487"/>
      <c r="L265" s="491"/>
      <c r="M265" s="487"/>
      <c r="N265" s="487"/>
      <c r="O265" s="487"/>
      <c r="P265" s="487"/>
      <c r="Q265" s="237"/>
      <c r="R265" s="237"/>
      <c r="S265" s="237"/>
      <c r="T265" s="237"/>
      <c r="U265" s="102"/>
      <c r="V265" s="102"/>
      <c r="W265" s="102"/>
      <c r="X265" s="102"/>
      <c r="Y265" s="102"/>
    </row>
    <row r="266" spans="1:25" x14ac:dyDescent="0.2">
      <c r="A266" s="225">
        <v>198</v>
      </c>
      <c r="B266" s="37"/>
      <c r="C266" s="10"/>
      <c r="D266" s="10" t="s">
        <v>163</v>
      </c>
      <c r="E266" s="19" t="s">
        <v>164</v>
      </c>
      <c r="F266" s="159" t="s">
        <v>155</v>
      </c>
      <c r="G266" s="321">
        <v>9753.75</v>
      </c>
      <c r="H266" s="268"/>
      <c r="I266" s="487"/>
      <c r="J266" s="491"/>
      <c r="K266" s="487"/>
      <c r="L266" s="491"/>
      <c r="M266" s="487"/>
      <c r="N266" s="487"/>
      <c r="O266" s="487"/>
      <c r="P266" s="487"/>
      <c r="Q266" s="237"/>
      <c r="R266" s="237"/>
      <c r="S266" s="237"/>
      <c r="T266" s="237"/>
      <c r="U266" s="102"/>
      <c r="V266" s="102"/>
      <c r="W266" s="102"/>
      <c r="X266" s="102"/>
      <c r="Y266" s="102"/>
    </row>
    <row r="267" spans="1:25" x14ac:dyDescent="0.2">
      <c r="A267" s="225">
        <v>199</v>
      </c>
      <c r="B267" s="37"/>
      <c r="C267" s="10"/>
      <c r="D267" s="10" t="s">
        <v>165</v>
      </c>
      <c r="E267" s="19" t="s">
        <v>166</v>
      </c>
      <c r="F267" s="159" t="s">
        <v>155</v>
      </c>
      <c r="G267" s="321">
        <v>7256.7899999999991</v>
      </c>
      <c r="H267" s="268"/>
      <c r="I267" s="487"/>
      <c r="J267" s="491"/>
      <c r="K267" s="487"/>
      <c r="L267" s="491"/>
      <c r="M267" s="487"/>
      <c r="N267" s="487"/>
      <c r="O267" s="487"/>
      <c r="P267" s="487"/>
      <c r="Q267" s="237"/>
      <c r="R267" s="237"/>
      <c r="S267" s="237"/>
      <c r="T267" s="237"/>
      <c r="U267" s="102"/>
      <c r="V267" s="102"/>
      <c r="W267" s="102"/>
      <c r="X267" s="102"/>
      <c r="Y267" s="102"/>
    </row>
    <row r="268" spans="1:25" x14ac:dyDescent="0.2">
      <c r="A268" s="225">
        <v>200</v>
      </c>
      <c r="B268" s="37"/>
      <c r="C268" s="10"/>
      <c r="D268" s="10" t="s">
        <v>167</v>
      </c>
      <c r="E268" s="19" t="s">
        <v>168</v>
      </c>
      <c r="F268" s="159" t="s">
        <v>155</v>
      </c>
      <c r="G268" s="321">
        <v>133431.29999999999</v>
      </c>
      <c r="H268" s="268"/>
      <c r="I268" s="487"/>
      <c r="J268" s="491"/>
      <c r="K268" s="487"/>
      <c r="L268" s="491"/>
      <c r="M268" s="487"/>
      <c r="N268" s="487"/>
      <c r="O268" s="487"/>
      <c r="P268" s="487"/>
      <c r="Q268" s="237"/>
      <c r="R268" s="237"/>
      <c r="S268" s="237"/>
      <c r="T268" s="237"/>
      <c r="U268" s="102"/>
      <c r="V268" s="102"/>
      <c r="W268" s="102"/>
      <c r="X268" s="102"/>
      <c r="Y268" s="102"/>
    </row>
    <row r="269" spans="1:25" x14ac:dyDescent="0.2">
      <c r="A269" s="225">
        <v>201</v>
      </c>
      <c r="B269" s="37"/>
      <c r="C269" s="10"/>
      <c r="D269" s="10" t="s">
        <v>85</v>
      </c>
      <c r="E269" s="19" t="s">
        <v>86</v>
      </c>
      <c r="F269" s="159" t="s">
        <v>155</v>
      </c>
      <c r="G269" s="321">
        <v>70500.257156111809</v>
      </c>
      <c r="H269" s="268"/>
      <c r="I269" s="487"/>
      <c r="J269" s="491"/>
      <c r="K269" s="487"/>
      <c r="L269" s="491"/>
      <c r="M269" s="487"/>
      <c r="N269" s="487"/>
      <c r="O269" s="487"/>
      <c r="P269" s="487"/>
      <c r="Q269" s="237"/>
      <c r="R269" s="237"/>
      <c r="S269" s="237"/>
      <c r="T269" s="237"/>
      <c r="U269" s="102"/>
      <c r="V269" s="102"/>
      <c r="W269" s="102"/>
      <c r="X269" s="102"/>
      <c r="Y269" s="102"/>
    </row>
    <row r="270" spans="1:25" x14ac:dyDescent="0.2">
      <c r="A270" s="225">
        <v>202</v>
      </c>
      <c r="B270" s="37"/>
      <c r="C270" s="10"/>
      <c r="D270" s="10" t="s">
        <v>169</v>
      </c>
      <c r="E270" s="19" t="s">
        <v>170</v>
      </c>
      <c r="F270" s="159" t="s">
        <v>155</v>
      </c>
      <c r="G270" s="303">
        <f>+'KIPP Assumptions'!D$6*'KIPP Assumptions'!D$50</f>
        <v>61383.6</v>
      </c>
      <c r="H270" s="268" t="s">
        <v>477</v>
      </c>
      <c r="I270" s="487"/>
      <c r="J270" s="487"/>
      <c r="K270" s="487"/>
      <c r="L270" s="491"/>
      <c r="M270" s="487"/>
      <c r="N270" s="487"/>
      <c r="O270" s="487"/>
      <c r="P270" s="487"/>
      <c r="Q270" s="237"/>
      <c r="R270" s="237"/>
      <c r="S270" s="237"/>
      <c r="T270" s="237"/>
      <c r="U270" s="102"/>
      <c r="V270" s="102"/>
      <c r="W270" s="102"/>
      <c r="X270" s="102"/>
      <c r="Y270" s="102"/>
    </row>
    <row r="271" spans="1:25" x14ac:dyDescent="0.2">
      <c r="A271" s="225">
        <v>203</v>
      </c>
      <c r="B271" s="37"/>
      <c r="C271" s="10"/>
      <c r="D271" s="10" t="s">
        <v>171</v>
      </c>
      <c r="E271" s="19" t="s">
        <v>144</v>
      </c>
      <c r="F271" s="159" t="s">
        <v>155</v>
      </c>
      <c r="G271" s="321">
        <v>0</v>
      </c>
      <c r="H271" s="268"/>
      <c r="I271" s="487"/>
      <c r="J271" s="491"/>
      <c r="K271" s="487"/>
      <c r="L271" s="491"/>
      <c r="M271" s="487"/>
      <c r="N271" s="487"/>
      <c r="O271" s="487"/>
      <c r="P271" s="487"/>
      <c r="Q271" s="237"/>
      <c r="R271" s="237"/>
      <c r="S271" s="237"/>
      <c r="T271" s="237"/>
      <c r="U271" s="102"/>
      <c r="V271" s="102"/>
      <c r="W271" s="102"/>
      <c r="X271" s="102"/>
      <c r="Y271" s="102"/>
    </row>
    <row r="272" spans="1:25" x14ac:dyDescent="0.2">
      <c r="A272" s="225">
        <v>204</v>
      </c>
      <c r="B272" s="37"/>
      <c r="C272" s="10"/>
      <c r="D272" s="10" t="s">
        <v>248</v>
      </c>
      <c r="E272" s="19" t="s">
        <v>249</v>
      </c>
      <c r="F272" s="159" t="s">
        <v>155</v>
      </c>
      <c r="G272" s="321">
        <v>140454</v>
      </c>
      <c r="H272" s="268"/>
      <c r="I272" s="487"/>
      <c r="J272" s="491"/>
      <c r="K272" s="487"/>
      <c r="L272" s="491"/>
      <c r="M272" s="487"/>
      <c r="N272" s="487"/>
      <c r="O272" s="487"/>
      <c r="P272" s="487"/>
      <c r="Q272" s="237"/>
      <c r="R272" s="237"/>
      <c r="S272" s="237"/>
      <c r="T272" s="237"/>
      <c r="U272" s="102"/>
      <c r="V272" s="102"/>
      <c r="W272" s="102"/>
      <c r="X272" s="102"/>
      <c r="Y272" s="102"/>
    </row>
    <row r="273" spans="1:25" x14ac:dyDescent="0.2">
      <c r="A273" s="225">
        <v>205</v>
      </c>
      <c r="B273" s="37"/>
      <c r="C273" s="10" t="s">
        <v>172</v>
      </c>
      <c r="D273" s="10"/>
      <c r="E273" s="19" t="s">
        <v>251</v>
      </c>
      <c r="F273" s="159">
        <v>2630</v>
      </c>
      <c r="G273" s="321">
        <v>4291.6499999999996</v>
      </c>
      <c r="H273" s="268"/>
      <c r="I273" s="487"/>
      <c r="J273" s="491"/>
      <c r="K273" s="487"/>
      <c r="L273" s="491"/>
      <c r="M273" s="487"/>
      <c r="N273" s="487"/>
      <c r="O273" s="487"/>
      <c r="P273" s="487"/>
      <c r="Q273" s="237"/>
      <c r="R273" s="237"/>
      <c r="S273" s="237"/>
      <c r="T273" s="237"/>
      <c r="U273" s="102"/>
      <c r="V273" s="102"/>
      <c r="W273" s="102"/>
      <c r="X273" s="102"/>
      <c r="Y273" s="102"/>
    </row>
    <row r="274" spans="1:25" x14ac:dyDescent="0.2">
      <c r="A274" s="225">
        <v>206</v>
      </c>
      <c r="B274" s="37"/>
      <c r="C274" s="10" t="s">
        <v>173</v>
      </c>
      <c r="D274" s="10"/>
      <c r="E274" s="19" t="s">
        <v>251</v>
      </c>
      <c r="F274" s="159">
        <v>2640</v>
      </c>
      <c r="G274" s="321">
        <v>3901.5</v>
      </c>
      <c r="H274" s="268"/>
      <c r="I274" s="487"/>
      <c r="J274" s="491"/>
      <c r="K274" s="487"/>
      <c r="L274" s="491"/>
      <c r="M274" s="487"/>
      <c r="N274" s="487"/>
      <c r="O274" s="487"/>
      <c r="P274" s="487"/>
      <c r="Q274" s="237"/>
      <c r="R274" s="237"/>
      <c r="S274" s="237"/>
      <c r="T274" s="237"/>
      <c r="U274" s="102"/>
      <c r="V274" s="102"/>
      <c r="W274" s="102"/>
      <c r="X274" s="102"/>
      <c r="Y274" s="102"/>
    </row>
    <row r="275" spans="1:25" x14ac:dyDescent="0.2">
      <c r="A275" s="225">
        <v>207</v>
      </c>
      <c r="B275" s="37"/>
      <c r="C275" s="10" t="s">
        <v>174</v>
      </c>
      <c r="D275" s="10"/>
      <c r="E275" s="19" t="s">
        <v>221</v>
      </c>
      <c r="F275" s="159" t="s">
        <v>245</v>
      </c>
      <c r="G275" s="303">
        <v>0</v>
      </c>
      <c r="H275" s="268"/>
      <c r="I275" s="487"/>
      <c r="J275" s="487"/>
      <c r="K275" s="487"/>
      <c r="L275" s="491"/>
      <c r="M275" s="487"/>
      <c r="N275" s="487"/>
      <c r="O275" s="487"/>
      <c r="P275" s="487"/>
      <c r="Q275" s="237"/>
      <c r="R275" s="237"/>
      <c r="S275" s="237"/>
      <c r="T275" s="237"/>
      <c r="U275" s="102"/>
      <c r="V275" s="102"/>
      <c r="W275" s="102"/>
      <c r="X275" s="102"/>
      <c r="Y275" s="102"/>
    </row>
    <row r="276" spans="1:25" x14ac:dyDescent="0.2">
      <c r="A276" s="225">
        <v>208</v>
      </c>
      <c r="B276" s="37"/>
      <c r="C276" s="10" t="s">
        <v>295</v>
      </c>
      <c r="D276" s="10"/>
      <c r="E276" s="19" t="s">
        <v>97</v>
      </c>
      <c r="F276" s="159" t="s">
        <v>245</v>
      </c>
      <c r="G276" s="303">
        <f t="shared" ref="G276:G280" si="7">+SUM(G$256)*$I276</f>
        <v>0</v>
      </c>
      <c r="H276" s="268"/>
      <c r="I276" s="492">
        <f>'KIPP Assumptions'!$B$105+'KIPP Assumptions'!$B$106+'KIPP Assumptions'!$B$107+'KIPP Assumptions'!$B$108+'KIPP Assumptions'!$B$109</f>
        <v>7.0773334087038758E-2</v>
      </c>
      <c r="J276" s="487"/>
      <c r="K276" s="487"/>
      <c r="L276" s="491"/>
      <c r="M276" s="487"/>
      <c r="N276" s="487"/>
      <c r="O276" s="487"/>
      <c r="P276" s="487"/>
      <c r="Q276" s="237"/>
      <c r="R276" s="237"/>
      <c r="S276" s="237"/>
      <c r="T276" s="237"/>
      <c r="U276" s="102"/>
      <c r="V276" s="102"/>
      <c r="W276" s="102"/>
      <c r="X276" s="102"/>
      <c r="Y276" s="102"/>
    </row>
    <row r="277" spans="1:25" x14ac:dyDescent="0.2">
      <c r="A277" s="225">
        <v>209</v>
      </c>
      <c r="B277" s="37"/>
      <c r="C277" s="10" t="s">
        <v>98</v>
      </c>
      <c r="D277" s="10"/>
      <c r="E277" s="19" t="s">
        <v>99</v>
      </c>
      <c r="F277" s="159" t="s">
        <v>245</v>
      </c>
      <c r="G277" s="303">
        <f t="shared" si="7"/>
        <v>0</v>
      </c>
      <c r="H277" s="268"/>
      <c r="I277" s="492">
        <f>'KIPP Assumptions'!$B$111</f>
        <v>6.2E-2</v>
      </c>
      <c r="J277" s="487"/>
      <c r="K277" s="487"/>
      <c r="L277" s="491"/>
      <c r="M277" s="487"/>
      <c r="N277" s="487"/>
      <c r="O277" s="487"/>
      <c r="P277" s="487"/>
      <c r="Q277" s="237"/>
      <c r="R277" s="237"/>
      <c r="S277" s="237"/>
      <c r="T277" s="237"/>
      <c r="U277" s="102"/>
      <c r="V277" s="102"/>
      <c r="W277" s="102"/>
      <c r="X277" s="102"/>
      <c r="Y277" s="102"/>
    </row>
    <row r="278" spans="1:25" x14ac:dyDescent="0.2">
      <c r="A278" s="225">
        <v>210</v>
      </c>
      <c r="B278" s="37"/>
      <c r="C278" s="10" t="s">
        <v>100</v>
      </c>
      <c r="D278" s="10"/>
      <c r="E278" s="19" t="s">
        <v>101</v>
      </c>
      <c r="F278" s="159" t="s">
        <v>245</v>
      </c>
      <c r="G278" s="303">
        <f t="shared" si="7"/>
        <v>0</v>
      </c>
      <c r="H278" s="268"/>
      <c r="I278" s="492">
        <f>'KIPP Assumptions'!$B$110</f>
        <v>1.4500000000000001E-2</v>
      </c>
      <c r="J278" s="487"/>
      <c r="K278" s="487"/>
      <c r="L278" s="491"/>
      <c r="M278" s="487"/>
      <c r="N278" s="487"/>
      <c r="O278" s="487"/>
      <c r="P278" s="487"/>
      <c r="Q278" s="237"/>
      <c r="R278" s="237"/>
      <c r="S278" s="237"/>
      <c r="T278" s="237"/>
      <c r="U278" s="102"/>
      <c r="V278" s="102"/>
      <c r="W278" s="102"/>
      <c r="X278" s="102"/>
      <c r="Y278" s="102"/>
    </row>
    <row r="279" spans="1:25" x14ac:dyDescent="0.2">
      <c r="A279" s="225">
        <v>211</v>
      </c>
      <c r="B279" s="37"/>
      <c r="C279" s="10" t="s">
        <v>219</v>
      </c>
      <c r="D279" s="10"/>
      <c r="E279" s="19" t="s">
        <v>220</v>
      </c>
      <c r="F279" s="159" t="s">
        <v>245</v>
      </c>
      <c r="G279" s="303">
        <f t="shared" si="7"/>
        <v>0</v>
      </c>
      <c r="H279" s="268"/>
      <c r="I279" s="492">
        <f>+'KIPP Assumptions'!$B$113</f>
        <v>3.21290868212155E-2</v>
      </c>
      <c r="J279" s="487"/>
      <c r="K279" s="487"/>
      <c r="L279" s="491"/>
      <c r="M279" s="487"/>
      <c r="N279" s="487"/>
      <c r="O279" s="487"/>
      <c r="P279" s="487"/>
      <c r="Q279" s="237"/>
      <c r="R279" s="237"/>
      <c r="S279" s="237"/>
      <c r="T279" s="237"/>
      <c r="U279" s="102"/>
      <c r="V279" s="102"/>
      <c r="W279" s="102"/>
      <c r="X279" s="102"/>
      <c r="Y279" s="102"/>
    </row>
    <row r="280" spans="1:25" x14ac:dyDescent="0.2">
      <c r="A280" s="225">
        <v>212</v>
      </c>
      <c r="B280" s="37"/>
      <c r="C280" s="10" t="s">
        <v>102</v>
      </c>
      <c r="D280" s="10"/>
      <c r="E280" s="19" t="s">
        <v>103</v>
      </c>
      <c r="F280" s="159" t="s">
        <v>245</v>
      </c>
      <c r="G280" s="303">
        <f t="shared" si="7"/>
        <v>0</v>
      </c>
      <c r="H280" s="268"/>
      <c r="I280" s="492">
        <f>+'KIPP Assumptions'!$B$112</f>
        <v>1E-3</v>
      </c>
      <c r="J280" s="487"/>
      <c r="K280" s="487"/>
      <c r="L280" s="491"/>
      <c r="M280" s="487"/>
      <c r="N280" s="487"/>
      <c r="O280" s="487"/>
      <c r="P280" s="487"/>
      <c r="Q280" s="237"/>
      <c r="R280" s="237"/>
      <c r="S280" s="237"/>
      <c r="T280" s="237"/>
      <c r="U280" s="102"/>
      <c r="V280" s="102"/>
      <c r="W280" s="102"/>
      <c r="X280" s="102"/>
      <c r="Y280" s="102"/>
    </row>
    <row r="281" spans="1:25" x14ac:dyDescent="0.2">
      <c r="A281" s="225">
        <v>213</v>
      </c>
      <c r="B281" s="37"/>
      <c r="C281" s="10" t="s">
        <v>104</v>
      </c>
      <c r="D281" s="10"/>
      <c r="E281" s="19" t="s">
        <v>105</v>
      </c>
      <c r="F281" s="159" t="s">
        <v>245</v>
      </c>
      <c r="G281" s="303"/>
      <c r="H281" s="268"/>
      <c r="I281" s="487"/>
      <c r="J281" s="487"/>
      <c r="K281" s="487"/>
      <c r="L281" s="491"/>
      <c r="M281" s="487"/>
      <c r="N281" s="487"/>
      <c r="O281" s="487"/>
      <c r="P281" s="487"/>
      <c r="Q281" s="237"/>
      <c r="R281" s="237"/>
      <c r="S281" s="237"/>
      <c r="T281" s="237"/>
      <c r="U281" s="102"/>
      <c r="V281" s="102"/>
      <c r="W281" s="102"/>
      <c r="X281" s="102"/>
      <c r="Y281" s="102"/>
    </row>
    <row r="282" spans="1:25" x14ac:dyDescent="0.2">
      <c r="A282" s="225">
        <v>214</v>
      </c>
      <c r="B282" s="37"/>
      <c r="C282" s="86" t="s">
        <v>283</v>
      </c>
      <c r="D282" s="10"/>
      <c r="E282" s="19"/>
      <c r="F282" s="159"/>
      <c r="G282" s="303"/>
      <c r="H282" s="268"/>
      <c r="I282" s="487"/>
      <c r="J282" s="487"/>
      <c r="K282" s="487"/>
      <c r="L282" s="491"/>
      <c r="M282" s="487"/>
      <c r="N282" s="487"/>
      <c r="O282" s="487"/>
      <c r="P282" s="487"/>
      <c r="Q282" s="237"/>
      <c r="R282" s="237"/>
      <c r="S282" s="237"/>
      <c r="T282" s="237"/>
      <c r="U282" s="102"/>
      <c r="V282" s="102"/>
      <c r="W282" s="102"/>
      <c r="X282" s="102"/>
      <c r="Y282" s="102"/>
    </row>
    <row r="283" spans="1:25" x14ac:dyDescent="0.2">
      <c r="A283" s="225">
        <v>215</v>
      </c>
      <c r="B283" s="37"/>
      <c r="C283" s="86"/>
      <c r="D283" s="10"/>
      <c r="E283" s="19"/>
      <c r="F283" s="159"/>
      <c r="G283" s="303"/>
      <c r="H283" s="268"/>
      <c r="I283" s="487"/>
      <c r="J283" s="487"/>
      <c r="K283" s="487"/>
      <c r="L283" s="491"/>
      <c r="M283" s="487"/>
      <c r="N283" s="487"/>
      <c r="O283" s="487"/>
      <c r="P283" s="487"/>
      <c r="Q283" s="237"/>
      <c r="R283" s="237"/>
      <c r="S283" s="237"/>
      <c r="T283" s="237"/>
      <c r="U283" s="102"/>
      <c r="V283" s="102"/>
      <c r="W283" s="102"/>
      <c r="X283" s="102"/>
      <c r="Y283" s="102"/>
    </row>
    <row r="284" spans="1:25" x14ac:dyDescent="0.2">
      <c r="A284" s="225">
        <v>216</v>
      </c>
      <c r="B284" s="37"/>
      <c r="C284" s="10"/>
      <c r="D284" s="10"/>
      <c r="E284" s="19"/>
      <c r="F284" s="159"/>
      <c r="G284" s="303"/>
      <c r="H284" s="268"/>
      <c r="I284" s="487"/>
      <c r="J284" s="487"/>
      <c r="K284" s="487"/>
      <c r="L284" s="491"/>
      <c r="M284" s="487"/>
      <c r="N284" s="487"/>
      <c r="O284" s="487"/>
      <c r="P284" s="487"/>
      <c r="Q284" s="237"/>
      <c r="R284" s="237"/>
      <c r="S284" s="237"/>
      <c r="T284" s="237"/>
      <c r="U284" s="102"/>
      <c r="V284" s="102"/>
      <c r="W284" s="102"/>
      <c r="X284" s="102"/>
      <c r="Y284" s="102"/>
    </row>
    <row r="285" spans="1:25" ht="15" x14ac:dyDescent="0.25">
      <c r="A285" s="226">
        <v>217</v>
      </c>
      <c r="B285" s="88" t="s">
        <v>175</v>
      </c>
      <c r="C285" s="52"/>
      <c r="D285" s="52"/>
      <c r="E285" s="50"/>
      <c r="F285" s="163"/>
      <c r="G285" s="306">
        <f>SUM(G256:G284)</f>
        <v>475710.0471561118</v>
      </c>
      <c r="H285" s="271"/>
      <c r="I285" s="487"/>
      <c r="J285" s="487"/>
      <c r="K285" s="487"/>
      <c r="L285" s="491"/>
      <c r="M285" s="487"/>
      <c r="N285" s="487"/>
      <c r="O285" s="487"/>
      <c r="P285" s="487"/>
      <c r="Q285" s="237"/>
      <c r="R285" s="237"/>
      <c r="S285" s="237"/>
      <c r="T285" s="237"/>
      <c r="U285" s="102"/>
      <c r="V285" s="102"/>
      <c r="W285" s="102"/>
      <c r="X285" s="102"/>
      <c r="Y285" s="102"/>
    </row>
    <row r="286" spans="1:25" x14ac:dyDescent="0.2">
      <c r="A286" s="225"/>
      <c r="B286" s="37"/>
      <c r="C286" s="10"/>
      <c r="D286" s="10"/>
      <c r="E286" s="62"/>
      <c r="F286" s="158"/>
      <c r="G286" s="302"/>
      <c r="H286" s="267"/>
      <c r="I286" s="487"/>
      <c r="J286" s="487"/>
      <c r="K286" s="487"/>
      <c r="L286" s="491"/>
      <c r="M286" s="487"/>
      <c r="N286" s="487"/>
      <c r="O286" s="487"/>
      <c r="P286" s="487"/>
      <c r="Q286" s="237"/>
      <c r="R286" s="237"/>
      <c r="S286" s="237"/>
      <c r="T286" s="237"/>
      <c r="U286" s="102"/>
      <c r="V286" s="102"/>
      <c r="W286" s="102"/>
      <c r="X286" s="102"/>
      <c r="Y286" s="102"/>
    </row>
    <row r="287" spans="1:25" s="5" customFormat="1" ht="15" x14ac:dyDescent="0.25">
      <c r="A287" s="225"/>
      <c r="B287" s="89" t="s">
        <v>29</v>
      </c>
      <c r="C287" s="54"/>
      <c r="D287" s="54"/>
      <c r="E287" s="78"/>
      <c r="F287" s="170"/>
      <c r="G287" s="318"/>
      <c r="H287" s="286"/>
      <c r="I287" s="489"/>
      <c r="J287" s="489"/>
      <c r="K287" s="489"/>
      <c r="L287" s="491"/>
      <c r="M287" s="489"/>
      <c r="N287" s="489"/>
      <c r="O287" s="489"/>
      <c r="P287" s="489"/>
      <c r="Q287" s="244"/>
      <c r="R287" s="244"/>
      <c r="S287" s="244"/>
      <c r="T287" s="244"/>
      <c r="U287" s="240"/>
      <c r="V287" s="240"/>
      <c r="W287" s="240"/>
      <c r="X287" s="240"/>
      <c r="Y287" s="240"/>
    </row>
    <row r="288" spans="1:25" x14ac:dyDescent="0.2">
      <c r="A288" s="225">
        <v>218</v>
      </c>
      <c r="B288" s="37"/>
      <c r="C288" s="10" t="s">
        <v>83</v>
      </c>
      <c r="D288" s="10"/>
      <c r="E288" s="19" t="s">
        <v>246</v>
      </c>
      <c r="F288" s="159" t="s">
        <v>247</v>
      </c>
      <c r="G288" s="303"/>
      <c r="H288" s="268"/>
      <c r="I288" s="487"/>
      <c r="J288" s="487"/>
      <c r="K288" s="487"/>
      <c r="L288" s="491"/>
      <c r="M288" s="487"/>
      <c r="N288" s="487"/>
      <c r="O288" s="487"/>
      <c r="P288" s="487"/>
      <c r="Q288" s="237"/>
      <c r="R288" s="237"/>
      <c r="S288" s="237"/>
      <c r="T288" s="237"/>
      <c r="U288" s="102"/>
      <c r="V288" s="102"/>
      <c r="W288" s="102"/>
      <c r="X288" s="102"/>
      <c r="Y288" s="102"/>
    </row>
    <row r="289" spans="1:25" x14ac:dyDescent="0.2">
      <c r="A289" s="225"/>
      <c r="B289" s="37"/>
      <c r="C289" s="10" t="s">
        <v>176</v>
      </c>
      <c r="D289" s="10"/>
      <c r="E289" s="62"/>
      <c r="F289" s="158"/>
      <c r="G289" s="302"/>
      <c r="H289" s="267"/>
      <c r="I289" s="487"/>
      <c r="J289" s="487"/>
      <c r="K289" s="487"/>
      <c r="L289" s="491"/>
      <c r="M289" s="487"/>
      <c r="N289" s="487"/>
      <c r="O289" s="487"/>
      <c r="P289" s="487"/>
      <c r="Q289" s="237"/>
      <c r="R289" s="237"/>
      <c r="S289" s="237"/>
      <c r="T289" s="237"/>
      <c r="U289" s="102"/>
      <c r="V289" s="102"/>
      <c r="W289" s="102"/>
      <c r="X289" s="102"/>
      <c r="Y289" s="102"/>
    </row>
    <row r="290" spans="1:25" x14ac:dyDescent="0.2">
      <c r="A290" s="225">
        <v>219</v>
      </c>
      <c r="B290" s="37"/>
      <c r="C290" s="10" t="s">
        <v>33</v>
      </c>
      <c r="D290" s="10" t="s">
        <v>299</v>
      </c>
      <c r="E290" s="19" t="s">
        <v>222</v>
      </c>
      <c r="F290" s="159" t="s">
        <v>247</v>
      </c>
      <c r="G290" s="303">
        <v>0</v>
      </c>
      <c r="H290" s="268"/>
      <c r="I290" s="487"/>
      <c r="J290" s="487"/>
      <c r="K290" s="487"/>
      <c r="L290" s="491"/>
      <c r="M290" s="487"/>
      <c r="N290" s="487"/>
      <c r="O290" s="487"/>
      <c r="P290" s="487"/>
      <c r="Q290" s="237"/>
      <c r="R290" s="237"/>
      <c r="S290" s="237"/>
      <c r="T290" s="237"/>
      <c r="U290" s="102"/>
      <c r="V290" s="102"/>
      <c r="W290" s="102"/>
      <c r="X290" s="102"/>
      <c r="Y290" s="102"/>
    </row>
    <row r="291" spans="1:25" x14ac:dyDescent="0.2">
      <c r="A291" s="225">
        <v>220</v>
      </c>
      <c r="B291" s="37"/>
      <c r="C291" s="10"/>
      <c r="D291" s="10" t="s">
        <v>85</v>
      </c>
      <c r="E291" s="19" t="s">
        <v>86</v>
      </c>
      <c r="F291" s="159" t="s">
        <v>177</v>
      </c>
      <c r="G291" s="303">
        <v>0</v>
      </c>
      <c r="H291" s="268"/>
      <c r="I291" s="487"/>
      <c r="J291" s="487"/>
      <c r="K291" s="487"/>
      <c r="L291" s="491"/>
      <c r="M291" s="487"/>
      <c r="N291" s="499"/>
      <c r="O291" s="487"/>
      <c r="P291" s="487"/>
      <c r="Q291" s="237"/>
      <c r="R291" s="237"/>
      <c r="S291" s="237"/>
      <c r="T291" s="237"/>
      <c r="U291" s="102"/>
      <c r="V291" s="102"/>
      <c r="W291" s="102"/>
      <c r="X291" s="102"/>
      <c r="Y291" s="102"/>
    </row>
    <row r="292" spans="1:25" x14ac:dyDescent="0.2">
      <c r="A292" s="225">
        <v>221</v>
      </c>
      <c r="B292" s="37"/>
      <c r="C292" s="10"/>
      <c r="D292" s="10" t="s">
        <v>178</v>
      </c>
      <c r="E292" s="19" t="s">
        <v>179</v>
      </c>
      <c r="F292" s="159" t="s">
        <v>177</v>
      </c>
      <c r="G292" s="303">
        <v>510741.81818181823</v>
      </c>
      <c r="H292" s="268" t="s">
        <v>429</v>
      </c>
      <c r="I292" s="487"/>
      <c r="J292" s="491"/>
      <c r="K292" s="487"/>
      <c r="L292" s="491"/>
      <c r="M292" s="487"/>
      <c r="N292" s="491"/>
      <c r="O292" s="487"/>
      <c r="P292" s="487"/>
      <c r="Q292" s="237"/>
      <c r="R292" s="237"/>
      <c r="S292" s="237"/>
      <c r="T292" s="237"/>
      <c r="U292" s="102"/>
      <c r="V292" s="102"/>
      <c r="W292" s="102"/>
      <c r="X292" s="102"/>
      <c r="Y292" s="102"/>
    </row>
    <row r="293" spans="1:25" x14ac:dyDescent="0.2">
      <c r="A293" s="225">
        <v>222</v>
      </c>
      <c r="B293" s="37"/>
      <c r="C293" s="10"/>
      <c r="D293" s="10" t="s">
        <v>113</v>
      </c>
      <c r="E293" s="19" t="s">
        <v>114</v>
      </c>
      <c r="F293" s="159" t="s">
        <v>177</v>
      </c>
      <c r="G293" s="303">
        <v>0</v>
      </c>
      <c r="H293" s="268"/>
      <c r="I293" s="487"/>
      <c r="J293" s="487"/>
      <c r="K293" s="487"/>
      <c r="L293" s="491"/>
      <c r="M293" s="487"/>
      <c r="N293" s="491"/>
      <c r="O293" s="487"/>
      <c r="P293" s="487"/>
      <c r="Q293" s="237"/>
      <c r="R293" s="237"/>
      <c r="S293" s="237"/>
      <c r="T293" s="237"/>
      <c r="U293" s="102"/>
      <c r="V293" s="102"/>
      <c r="W293" s="102"/>
      <c r="X293" s="102"/>
      <c r="Y293" s="102"/>
    </row>
    <row r="294" spans="1:25" x14ac:dyDescent="0.2">
      <c r="A294" s="225">
        <v>223</v>
      </c>
      <c r="B294" s="37"/>
      <c r="C294" s="10"/>
      <c r="D294" s="10" t="s">
        <v>110</v>
      </c>
      <c r="E294" s="19" t="s">
        <v>90</v>
      </c>
      <c r="F294" s="159" t="s">
        <v>177</v>
      </c>
      <c r="G294" s="303">
        <v>0</v>
      </c>
      <c r="H294" s="268"/>
      <c r="I294" s="487"/>
      <c r="J294" s="487"/>
      <c r="K294" s="487"/>
      <c r="L294" s="491"/>
      <c r="O294" s="487"/>
      <c r="P294" s="487"/>
      <c r="Q294" s="237"/>
      <c r="R294" s="237"/>
      <c r="S294" s="237"/>
      <c r="T294" s="237"/>
      <c r="U294" s="102"/>
      <c r="V294" s="102"/>
      <c r="W294" s="102"/>
      <c r="X294" s="102"/>
      <c r="Y294" s="102"/>
    </row>
    <row r="295" spans="1:25" x14ac:dyDescent="0.2">
      <c r="A295" s="225">
        <v>224</v>
      </c>
      <c r="B295" s="37"/>
      <c r="C295" s="10"/>
      <c r="D295" s="10" t="s">
        <v>180</v>
      </c>
      <c r="E295" s="19" t="s">
        <v>115</v>
      </c>
      <c r="F295" s="159" t="s">
        <v>177</v>
      </c>
      <c r="G295" s="303">
        <v>0</v>
      </c>
      <c r="H295" s="268"/>
      <c r="I295" s="487"/>
      <c r="J295" s="487"/>
      <c r="K295" s="487"/>
      <c r="L295" s="491"/>
      <c r="M295" s="487"/>
      <c r="N295" s="491"/>
      <c r="O295" s="487"/>
      <c r="P295" s="487"/>
      <c r="Q295" s="237"/>
      <c r="R295" s="237"/>
      <c r="S295" s="237"/>
      <c r="T295" s="237"/>
      <c r="U295" s="102"/>
      <c r="V295" s="102"/>
      <c r="W295" s="102"/>
      <c r="X295" s="102"/>
      <c r="Y295" s="102"/>
    </row>
    <row r="296" spans="1:25" x14ac:dyDescent="0.2">
      <c r="A296" s="225">
        <v>225</v>
      </c>
      <c r="B296" s="37"/>
      <c r="C296" s="10"/>
      <c r="D296" s="10" t="s">
        <v>93</v>
      </c>
      <c r="E296" s="19" t="s">
        <v>94</v>
      </c>
      <c r="F296" s="159" t="s">
        <v>177</v>
      </c>
      <c r="G296" s="303">
        <v>0</v>
      </c>
      <c r="H296" s="268"/>
      <c r="I296" s="487"/>
      <c r="J296" s="487"/>
      <c r="K296" s="487"/>
      <c r="L296" s="491"/>
      <c r="M296" s="487"/>
      <c r="N296" s="491"/>
      <c r="O296" s="487"/>
      <c r="P296" s="487"/>
      <c r="Q296" s="237"/>
      <c r="R296" s="237"/>
      <c r="S296" s="237"/>
      <c r="T296" s="237"/>
      <c r="U296" s="102"/>
      <c r="V296" s="102"/>
      <c r="W296" s="102"/>
      <c r="X296" s="102"/>
      <c r="Y296" s="102"/>
    </row>
    <row r="297" spans="1:25" x14ac:dyDescent="0.2">
      <c r="A297" s="225">
        <v>226</v>
      </c>
      <c r="B297" s="37"/>
      <c r="C297" s="10"/>
      <c r="D297" s="10" t="s">
        <v>95</v>
      </c>
      <c r="E297" s="19" t="s">
        <v>96</v>
      </c>
      <c r="F297" s="159" t="s">
        <v>177</v>
      </c>
      <c r="G297" s="303">
        <v>0</v>
      </c>
      <c r="H297" s="268"/>
      <c r="I297" s="487"/>
      <c r="J297" s="487"/>
      <c r="K297" s="487"/>
      <c r="L297" s="491"/>
      <c r="M297" s="487"/>
      <c r="N297" s="491"/>
      <c r="O297" s="487"/>
      <c r="P297" s="487"/>
      <c r="Q297" s="237"/>
      <c r="R297" s="237"/>
      <c r="S297" s="237"/>
      <c r="T297" s="237"/>
      <c r="U297" s="102"/>
      <c r="V297" s="102"/>
      <c r="W297" s="102"/>
      <c r="X297" s="102"/>
      <c r="Y297" s="102"/>
    </row>
    <row r="298" spans="1:25" x14ac:dyDescent="0.2">
      <c r="A298" s="225">
        <v>227</v>
      </c>
      <c r="B298" s="37"/>
      <c r="C298" s="10"/>
      <c r="D298" s="10" t="s">
        <v>295</v>
      </c>
      <c r="E298" s="19" t="s">
        <v>97</v>
      </c>
      <c r="F298" s="159" t="s">
        <v>247</v>
      </c>
      <c r="G298" s="303">
        <v>0</v>
      </c>
      <c r="H298" s="268"/>
      <c r="I298" s="487"/>
      <c r="J298" s="487"/>
      <c r="K298" s="487"/>
      <c r="L298" s="491"/>
      <c r="O298" s="487"/>
      <c r="P298" s="487"/>
      <c r="Q298" s="237"/>
      <c r="R298" s="237"/>
      <c r="S298" s="237"/>
      <c r="T298" s="237"/>
      <c r="U298" s="102"/>
      <c r="V298" s="102"/>
      <c r="W298" s="102"/>
      <c r="X298" s="102"/>
      <c r="Y298" s="102"/>
    </row>
    <row r="299" spans="1:25" x14ac:dyDescent="0.2">
      <c r="A299" s="225">
        <v>228</v>
      </c>
      <c r="B299" s="37"/>
      <c r="C299" s="10"/>
      <c r="D299" s="10" t="s">
        <v>98</v>
      </c>
      <c r="E299" s="19" t="s">
        <v>99</v>
      </c>
      <c r="F299" s="159" t="s">
        <v>247</v>
      </c>
      <c r="G299" s="303">
        <v>0</v>
      </c>
      <c r="H299" s="268"/>
      <c r="I299" s="487"/>
      <c r="J299" s="487"/>
      <c r="K299" s="487"/>
      <c r="L299" s="491"/>
      <c r="O299" s="487"/>
      <c r="P299" s="487"/>
      <c r="Q299" s="237"/>
      <c r="R299" s="237"/>
      <c r="S299" s="237"/>
      <c r="T299" s="237"/>
      <c r="U299" s="102"/>
      <c r="V299" s="102"/>
      <c r="W299" s="102"/>
      <c r="X299" s="102"/>
      <c r="Y299" s="102"/>
    </row>
    <row r="300" spans="1:25" x14ac:dyDescent="0.2">
      <c r="A300" s="225">
        <v>229</v>
      </c>
      <c r="B300" s="37"/>
      <c r="C300" s="10"/>
      <c r="D300" s="10" t="s">
        <v>100</v>
      </c>
      <c r="E300" s="19" t="s">
        <v>101</v>
      </c>
      <c r="F300" s="159" t="s">
        <v>247</v>
      </c>
      <c r="G300" s="303">
        <v>0</v>
      </c>
      <c r="H300" s="268"/>
      <c r="I300" s="487"/>
      <c r="J300" s="487"/>
      <c r="K300" s="487"/>
      <c r="L300" s="491"/>
      <c r="M300" s="487"/>
      <c r="N300" s="491"/>
      <c r="O300" s="487"/>
      <c r="P300" s="487"/>
      <c r="Q300" s="237"/>
      <c r="R300" s="237"/>
      <c r="S300" s="237"/>
      <c r="T300" s="237"/>
      <c r="U300" s="102"/>
      <c r="V300" s="102"/>
      <c r="W300" s="102"/>
      <c r="X300" s="102"/>
      <c r="Y300" s="102"/>
    </row>
    <row r="301" spans="1:25" x14ac:dyDescent="0.2">
      <c r="A301" s="225">
        <v>230</v>
      </c>
      <c r="B301" s="37"/>
      <c r="C301" s="10"/>
      <c r="D301" s="10" t="s">
        <v>219</v>
      </c>
      <c r="E301" s="19" t="s">
        <v>220</v>
      </c>
      <c r="F301" s="159" t="s">
        <v>247</v>
      </c>
      <c r="G301" s="303">
        <v>0</v>
      </c>
      <c r="H301" s="268"/>
      <c r="I301" s="487"/>
      <c r="J301" s="487"/>
      <c r="K301" s="487"/>
      <c r="L301" s="491"/>
      <c r="O301" s="487"/>
      <c r="P301" s="487"/>
      <c r="Q301" s="237"/>
      <c r="R301" s="237"/>
      <c r="S301" s="237"/>
      <c r="T301" s="237"/>
      <c r="U301" s="102"/>
      <c r="V301" s="102"/>
      <c r="W301" s="102"/>
      <c r="X301" s="102"/>
      <c r="Y301" s="102"/>
    </row>
    <row r="302" spans="1:25" x14ac:dyDescent="0.2">
      <c r="A302" s="225">
        <v>231</v>
      </c>
      <c r="B302" s="37"/>
      <c r="C302" s="10"/>
      <c r="D302" s="10" t="s">
        <v>102</v>
      </c>
      <c r="E302" s="19" t="s">
        <v>103</v>
      </c>
      <c r="F302" s="159" t="s">
        <v>247</v>
      </c>
      <c r="G302" s="303">
        <v>0</v>
      </c>
      <c r="H302" s="268"/>
      <c r="I302" s="487"/>
      <c r="J302" s="487"/>
      <c r="K302" s="487"/>
      <c r="L302" s="491"/>
      <c r="O302" s="487"/>
      <c r="P302" s="487"/>
      <c r="Q302" s="237"/>
      <c r="R302" s="237"/>
      <c r="S302" s="237"/>
      <c r="T302" s="237"/>
      <c r="U302" s="102"/>
      <c r="V302" s="102"/>
      <c r="W302" s="102"/>
      <c r="X302" s="102"/>
      <c r="Y302" s="102"/>
    </row>
    <row r="303" spans="1:25" x14ac:dyDescent="0.2">
      <c r="A303" s="225">
        <v>232</v>
      </c>
      <c r="B303" s="37"/>
      <c r="C303" s="10"/>
      <c r="D303" s="10" t="s">
        <v>104</v>
      </c>
      <c r="E303" s="19" t="s">
        <v>105</v>
      </c>
      <c r="F303" s="159" t="s">
        <v>247</v>
      </c>
      <c r="G303" s="303">
        <v>0</v>
      </c>
      <c r="H303" s="268"/>
      <c r="I303" s="487"/>
      <c r="J303" s="487"/>
      <c r="K303" s="487"/>
      <c r="L303" s="491"/>
      <c r="M303" s="487"/>
      <c r="N303" s="487"/>
      <c r="O303" s="487"/>
      <c r="P303" s="487"/>
      <c r="Q303" s="237"/>
      <c r="R303" s="237"/>
      <c r="S303" s="237"/>
      <c r="T303" s="237"/>
      <c r="U303" s="102"/>
      <c r="V303" s="102"/>
      <c r="W303" s="102"/>
      <c r="X303" s="102"/>
      <c r="Y303" s="102"/>
    </row>
    <row r="304" spans="1:25" x14ac:dyDescent="0.2">
      <c r="A304" s="225">
        <v>233</v>
      </c>
      <c r="B304" s="37"/>
      <c r="C304" s="86" t="s">
        <v>283</v>
      </c>
      <c r="D304" s="10"/>
      <c r="E304" s="19"/>
      <c r="F304" s="159"/>
      <c r="G304" s="303"/>
      <c r="H304" s="268"/>
      <c r="I304" s="487"/>
      <c r="J304" s="487"/>
      <c r="K304" s="487"/>
      <c r="L304" s="491"/>
      <c r="M304" s="487"/>
      <c r="N304" s="487"/>
      <c r="O304" s="487"/>
      <c r="P304" s="487"/>
      <c r="Q304" s="237"/>
      <c r="R304" s="237"/>
      <c r="S304" s="237"/>
      <c r="T304" s="237"/>
      <c r="U304" s="102"/>
      <c r="V304" s="102"/>
      <c r="W304" s="102"/>
      <c r="X304" s="102"/>
      <c r="Y304" s="102"/>
    </row>
    <row r="305" spans="1:25" x14ac:dyDescent="0.2">
      <c r="A305" s="225">
        <v>234</v>
      </c>
      <c r="B305" s="37"/>
      <c r="C305" s="86"/>
      <c r="D305" s="10"/>
      <c r="E305" s="19"/>
      <c r="F305" s="159"/>
      <c r="G305" s="303"/>
      <c r="H305" s="268"/>
      <c r="I305" s="487"/>
      <c r="J305" s="487"/>
      <c r="K305" s="487"/>
      <c r="L305" s="491"/>
      <c r="M305" s="487"/>
      <c r="N305" s="487"/>
      <c r="O305" s="487"/>
      <c r="P305" s="487"/>
      <c r="Q305" s="237"/>
      <c r="R305" s="237"/>
      <c r="S305" s="237"/>
      <c r="T305" s="237"/>
      <c r="U305" s="102"/>
      <c r="V305" s="102"/>
      <c r="W305" s="102"/>
      <c r="X305" s="102"/>
      <c r="Y305" s="102"/>
    </row>
    <row r="306" spans="1:25" x14ac:dyDescent="0.2">
      <c r="A306" s="225">
        <v>235</v>
      </c>
      <c r="B306" s="84"/>
      <c r="D306" s="14"/>
      <c r="E306" s="15"/>
      <c r="F306" s="167"/>
      <c r="G306" s="315"/>
      <c r="H306" s="283"/>
      <c r="I306" s="487"/>
      <c r="J306" s="487"/>
      <c r="K306" s="487"/>
      <c r="L306" s="491"/>
      <c r="M306" s="487"/>
      <c r="N306" s="487"/>
      <c r="O306" s="487"/>
      <c r="P306" s="487"/>
      <c r="Q306" s="237"/>
      <c r="R306" s="237"/>
      <c r="S306" s="237"/>
      <c r="T306" s="237"/>
      <c r="U306" s="102"/>
      <c r="V306" s="102"/>
      <c r="W306" s="102"/>
      <c r="X306" s="102"/>
      <c r="Y306" s="102"/>
    </row>
    <row r="307" spans="1:25" ht="15" x14ac:dyDescent="0.25">
      <c r="A307" s="226">
        <v>236</v>
      </c>
      <c r="B307" s="88" t="s">
        <v>181</v>
      </c>
      <c r="C307" s="52"/>
      <c r="D307" s="52"/>
      <c r="E307" s="50"/>
      <c r="F307" s="163"/>
      <c r="G307" s="306">
        <f>SUM(G288:G306)</f>
        <v>510741.81818181823</v>
      </c>
      <c r="H307" s="271"/>
      <c r="I307" s="487"/>
      <c r="J307" s="487"/>
      <c r="K307" s="487"/>
      <c r="L307" s="491"/>
      <c r="M307" s="487"/>
      <c r="N307" s="487"/>
      <c r="O307" s="487"/>
      <c r="P307" s="487"/>
      <c r="Q307" s="237"/>
      <c r="R307" s="237"/>
      <c r="S307" s="237"/>
      <c r="T307" s="237"/>
      <c r="U307" s="102"/>
      <c r="V307" s="102"/>
      <c r="W307" s="102"/>
      <c r="X307" s="102"/>
      <c r="Y307" s="102"/>
    </row>
    <row r="308" spans="1:25" x14ac:dyDescent="0.2">
      <c r="A308" s="225"/>
      <c r="B308" s="36"/>
      <c r="C308" s="13"/>
      <c r="D308" s="13"/>
      <c r="E308" s="72"/>
      <c r="F308" s="157"/>
      <c r="G308" s="301"/>
      <c r="H308" s="266"/>
      <c r="I308" s="487"/>
      <c r="J308" s="487"/>
      <c r="K308" s="487"/>
      <c r="L308" s="491"/>
      <c r="M308" s="487"/>
      <c r="N308" s="487"/>
      <c r="O308" s="487"/>
      <c r="P308" s="487"/>
      <c r="Q308" s="237"/>
      <c r="R308" s="237"/>
      <c r="S308" s="237"/>
      <c r="T308" s="237"/>
      <c r="U308" s="102"/>
      <c r="V308" s="102"/>
      <c r="W308" s="102"/>
      <c r="X308" s="102"/>
      <c r="Y308" s="102"/>
    </row>
    <row r="309" spans="1:25" s="5" customFormat="1" ht="15" x14ac:dyDescent="0.25">
      <c r="A309" s="225"/>
      <c r="B309" s="89" t="s">
        <v>30</v>
      </c>
      <c r="C309" s="54"/>
      <c r="D309" s="54"/>
      <c r="E309" s="78"/>
      <c r="F309" s="170"/>
      <c r="G309" s="318"/>
      <c r="H309" s="286"/>
      <c r="I309" s="489"/>
      <c r="J309" s="489"/>
      <c r="K309" s="489"/>
      <c r="L309" s="491"/>
      <c r="M309" s="489"/>
      <c r="N309" s="489"/>
      <c r="O309" s="489"/>
      <c r="P309" s="489"/>
      <c r="Q309" s="244"/>
      <c r="R309" s="244"/>
      <c r="S309" s="244"/>
      <c r="T309" s="244"/>
      <c r="U309" s="240"/>
      <c r="V309" s="240"/>
      <c r="W309" s="240"/>
      <c r="X309" s="240"/>
      <c r="Y309" s="240"/>
    </row>
    <row r="310" spans="1:25" ht="15" x14ac:dyDescent="0.25">
      <c r="A310" s="225"/>
      <c r="B310" s="37"/>
      <c r="C310" s="107" t="s">
        <v>9</v>
      </c>
      <c r="D310" s="10"/>
      <c r="E310" s="78"/>
      <c r="F310" s="170"/>
      <c r="G310" s="318"/>
      <c r="H310" s="286"/>
      <c r="I310" s="487"/>
      <c r="J310" s="487"/>
      <c r="K310" s="487"/>
      <c r="L310" s="491"/>
      <c r="M310" s="487"/>
      <c r="N310" s="487"/>
      <c r="O310" s="487"/>
      <c r="P310" s="487"/>
      <c r="Q310" s="237"/>
      <c r="R310" s="237"/>
      <c r="S310" s="237"/>
      <c r="T310" s="237"/>
      <c r="U310" s="102"/>
      <c r="V310" s="102"/>
      <c r="W310" s="102"/>
      <c r="X310" s="102"/>
      <c r="Y310" s="102"/>
    </row>
    <row r="311" spans="1:25" x14ac:dyDescent="0.2">
      <c r="A311" s="225">
        <v>237</v>
      </c>
      <c r="B311" s="37"/>
      <c r="C311" s="10"/>
      <c r="D311" s="10" t="s">
        <v>83</v>
      </c>
      <c r="E311" s="19" t="s">
        <v>84</v>
      </c>
      <c r="F311" s="159" t="s">
        <v>226</v>
      </c>
      <c r="G311" s="303">
        <v>14045.4</v>
      </c>
      <c r="H311" s="268" t="s">
        <v>426</v>
      </c>
      <c r="I311" s="487"/>
      <c r="J311" s="491"/>
      <c r="K311" s="487"/>
      <c r="L311" s="491"/>
      <c r="M311" s="487"/>
      <c r="N311" s="487"/>
      <c r="O311" s="487"/>
      <c r="P311" s="487"/>
      <c r="Q311" s="237"/>
      <c r="R311" s="237"/>
      <c r="S311" s="237"/>
      <c r="T311" s="237"/>
      <c r="U311" s="102"/>
      <c r="V311" s="102"/>
      <c r="W311" s="102"/>
      <c r="X311" s="102"/>
      <c r="Y311" s="102"/>
    </row>
    <row r="312" spans="1:25" x14ac:dyDescent="0.2">
      <c r="A312" s="225">
        <v>238</v>
      </c>
      <c r="B312" s="37"/>
      <c r="C312" s="10"/>
      <c r="D312" s="10" t="s">
        <v>184</v>
      </c>
      <c r="E312" s="19" t="s">
        <v>185</v>
      </c>
      <c r="F312" s="159">
        <v>2830</v>
      </c>
      <c r="G312" s="303">
        <v>1404.5400000000004</v>
      </c>
      <c r="H312" s="268"/>
      <c r="I312" s="487"/>
      <c r="J312" s="491"/>
      <c r="K312" s="487"/>
      <c r="L312" s="491"/>
      <c r="M312" s="487"/>
      <c r="N312" s="487"/>
      <c r="O312" s="487"/>
      <c r="P312" s="487"/>
      <c r="Q312" s="237"/>
      <c r="R312" s="237"/>
      <c r="S312" s="237"/>
      <c r="T312" s="237"/>
      <c r="U312" s="102"/>
      <c r="V312" s="102"/>
      <c r="W312" s="102"/>
      <c r="X312" s="102"/>
      <c r="Y312" s="102"/>
    </row>
    <row r="313" spans="1:25" x14ac:dyDescent="0.2">
      <c r="A313" s="225">
        <v>239</v>
      </c>
      <c r="B313" s="37"/>
      <c r="C313" s="10"/>
      <c r="D313" s="10" t="s">
        <v>131</v>
      </c>
      <c r="E313" s="19" t="s">
        <v>132</v>
      </c>
      <c r="F313" s="159" t="s">
        <v>183</v>
      </c>
      <c r="G313" s="303"/>
      <c r="H313" s="268"/>
      <c r="I313" s="487"/>
      <c r="J313" s="487"/>
      <c r="K313" s="487"/>
      <c r="L313" s="491"/>
      <c r="M313" s="487"/>
      <c r="N313" s="487"/>
      <c r="O313" s="487"/>
      <c r="P313" s="487"/>
      <c r="Q313" s="237"/>
      <c r="R313" s="237"/>
      <c r="S313" s="237"/>
      <c r="T313" s="237"/>
      <c r="U313" s="102"/>
      <c r="V313" s="102"/>
      <c r="W313" s="102"/>
      <c r="X313" s="102"/>
      <c r="Y313" s="102"/>
    </row>
    <row r="314" spans="1:25" x14ac:dyDescent="0.2">
      <c r="A314" s="225">
        <v>240</v>
      </c>
      <c r="B314" s="37"/>
      <c r="C314" s="10" t="s">
        <v>186</v>
      </c>
      <c r="D314" s="10"/>
      <c r="E314" s="105" t="s">
        <v>221</v>
      </c>
      <c r="F314" s="173" t="s">
        <v>226</v>
      </c>
      <c r="G314" s="321"/>
      <c r="H314" s="290"/>
      <c r="I314" s="487"/>
      <c r="J314" s="487"/>
      <c r="K314" s="487"/>
      <c r="L314" s="491"/>
      <c r="M314" s="487"/>
      <c r="N314" s="487"/>
      <c r="O314" s="487"/>
      <c r="P314" s="487"/>
      <c r="Q314" s="237"/>
      <c r="R314" s="237"/>
      <c r="S314" s="237"/>
      <c r="T314" s="237"/>
      <c r="U314" s="102"/>
      <c r="V314" s="102"/>
      <c r="W314" s="102"/>
      <c r="X314" s="102"/>
      <c r="Y314" s="102"/>
    </row>
    <row r="315" spans="1:25" x14ac:dyDescent="0.2">
      <c r="A315" s="225">
        <v>241</v>
      </c>
      <c r="B315" s="37"/>
      <c r="C315" s="10" t="s">
        <v>295</v>
      </c>
      <c r="D315" s="10"/>
      <c r="E315" s="19" t="s">
        <v>97</v>
      </c>
      <c r="F315" s="159" t="s">
        <v>226</v>
      </c>
      <c r="G315" s="303"/>
      <c r="H315" s="268"/>
      <c r="I315" s="487"/>
      <c r="J315" s="487"/>
      <c r="K315" s="487"/>
      <c r="L315" s="491"/>
      <c r="M315" s="487"/>
      <c r="N315" s="487"/>
      <c r="O315" s="487"/>
      <c r="P315" s="487"/>
      <c r="Q315" s="237"/>
      <c r="R315" s="237"/>
      <c r="S315" s="237"/>
      <c r="T315" s="237"/>
      <c r="U315" s="102"/>
      <c r="V315" s="102"/>
      <c r="W315" s="102"/>
      <c r="X315" s="102"/>
      <c r="Y315" s="102"/>
    </row>
    <row r="316" spans="1:25" x14ac:dyDescent="0.2">
      <c r="A316" s="225">
        <v>242</v>
      </c>
      <c r="B316" s="37"/>
      <c r="C316" s="10" t="s">
        <v>98</v>
      </c>
      <c r="D316" s="10"/>
      <c r="E316" s="19" t="s">
        <v>99</v>
      </c>
      <c r="F316" s="159" t="s">
        <v>226</v>
      </c>
      <c r="G316" s="303"/>
      <c r="H316" s="268"/>
      <c r="I316" s="487"/>
      <c r="J316" s="487"/>
      <c r="K316" s="487"/>
      <c r="L316" s="491"/>
      <c r="M316" s="487"/>
      <c r="N316" s="487"/>
      <c r="O316" s="487"/>
      <c r="P316" s="487"/>
      <c r="Q316" s="237"/>
      <c r="R316" s="237"/>
      <c r="S316" s="237"/>
      <c r="T316" s="237"/>
      <c r="U316" s="102"/>
      <c r="V316" s="102"/>
      <c r="W316" s="102"/>
      <c r="X316" s="102"/>
      <c r="Y316" s="102"/>
    </row>
    <row r="317" spans="1:25" x14ac:dyDescent="0.2">
      <c r="A317" s="225">
        <v>243</v>
      </c>
      <c r="B317" s="37"/>
      <c r="C317" s="10" t="s">
        <v>100</v>
      </c>
      <c r="D317" s="10"/>
      <c r="E317" s="19" t="s">
        <v>101</v>
      </c>
      <c r="F317" s="159" t="s">
        <v>226</v>
      </c>
      <c r="G317" s="303"/>
      <c r="H317" s="268"/>
      <c r="I317" s="487"/>
      <c r="J317" s="487"/>
      <c r="K317" s="487"/>
      <c r="L317" s="491"/>
      <c r="M317" s="487"/>
      <c r="N317" s="487"/>
      <c r="O317" s="487"/>
      <c r="P317" s="487"/>
      <c r="Q317" s="237"/>
      <c r="R317" s="237"/>
      <c r="S317" s="237"/>
      <c r="T317" s="237"/>
      <c r="U317" s="102"/>
      <c r="V317" s="102"/>
      <c r="W317" s="102"/>
      <c r="X317" s="102"/>
      <c r="Y317" s="102"/>
    </row>
    <row r="318" spans="1:25" x14ac:dyDescent="0.2">
      <c r="A318" s="225">
        <v>244</v>
      </c>
      <c r="B318" s="37"/>
      <c r="C318" s="10" t="s">
        <v>219</v>
      </c>
      <c r="D318" s="10"/>
      <c r="E318" s="19" t="s">
        <v>220</v>
      </c>
      <c r="F318" s="159" t="s">
        <v>226</v>
      </c>
      <c r="G318" s="303"/>
      <c r="H318" s="268"/>
      <c r="I318" s="487"/>
      <c r="J318" s="487"/>
      <c r="K318" s="487"/>
      <c r="L318" s="491"/>
      <c r="M318" s="487"/>
      <c r="N318" s="487"/>
      <c r="O318" s="487"/>
      <c r="P318" s="487"/>
      <c r="Q318" s="237"/>
      <c r="R318" s="237"/>
      <c r="S318" s="237"/>
      <c r="T318" s="237"/>
      <c r="U318" s="102"/>
      <c r="V318" s="102"/>
      <c r="W318" s="102"/>
      <c r="X318" s="102"/>
      <c r="Y318" s="102"/>
    </row>
    <row r="319" spans="1:25" x14ac:dyDescent="0.2">
      <c r="A319" s="225">
        <v>245</v>
      </c>
      <c r="B319" s="37"/>
      <c r="C319" s="10" t="s">
        <v>102</v>
      </c>
      <c r="D319" s="10"/>
      <c r="E319" s="19" t="s">
        <v>103</v>
      </c>
      <c r="F319" s="159" t="s">
        <v>226</v>
      </c>
      <c r="G319" s="303"/>
      <c r="H319" s="268"/>
      <c r="I319" s="487"/>
      <c r="J319" s="487"/>
      <c r="K319" s="487"/>
      <c r="L319" s="491"/>
      <c r="M319" s="487"/>
      <c r="N319" s="487"/>
      <c r="O319" s="487"/>
      <c r="P319" s="487"/>
      <c r="Q319" s="237"/>
      <c r="R319" s="237"/>
      <c r="S319" s="237"/>
      <c r="T319" s="237"/>
      <c r="U319" s="102"/>
      <c r="V319" s="102"/>
      <c r="W319" s="102"/>
      <c r="X319" s="102"/>
      <c r="Y319" s="102"/>
    </row>
    <row r="320" spans="1:25" x14ac:dyDescent="0.2">
      <c r="A320" s="225">
        <v>246</v>
      </c>
      <c r="B320" s="37"/>
      <c r="C320" s="10" t="s">
        <v>104</v>
      </c>
      <c r="D320" s="10"/>
      <c r="E320" s="19" t="s">
        <v>105</v>
      </c>
      <c r="F320" s="159" t="s">
        <v>226</v>
      </c>
      <c r="G320" s="303"/>
      <c r="H320" s="268"/>
      <c r="I320" s="487"/>
      <c r="J320" s="487"/>
      <c r="K320" s="487"/>
      <c r="L320" s="491"/>
      <c r="M320" s="487"/>
      <c r="N320" s="487"/>
      <c r="O320" s="487"/>
      <c r="P320" s="487"/>
      <c r="Q320" s="237"/>
      <c r="R320" s="237"/>
      <c r="S320" s="237"/>
      <c r="T320" s="237"/>
      <c r="U320" s="102"/>
      <c r="V320" s="102"/>
      <c r="W320" s="102"/>
      <c r="X320" s="102"/>
      <c r="Y320" s="102"/>
    </row>
    <row r="321" spans="1:25" x14ac:dyDescent="0.2">
      <c r="A321" s="225">
        <v>247</v>
      </c>
      <c r="B321" s="37"/>
      <c r="C321" s="86"/>
      <c r="D321" s="10"/>
      <c r="E321" s="19"/>
      <c r="F321" s="159"/>
      <c r="G321" s="303"/>
      <c r="H321" s="268"/>
      <c r="I321" s="487"/>
      <c r="J321" s="487"/>
      <c r="K321" s="487"/>
      <c r="L321" s="491"/>
      <c r="M321" s="487"/>
      <c r="N321" s="487"/>
      <c r="O321" s="487"/>
      <c r="P321" s="487"/>
      <c r="Q321" s="237"/>
      <c r="R321" s="237"/>
      <c r="S321" s="237"/>
      <c r="T321" s="237"/>
      <c r="U321" s="102"/>
      <c r="V321" s="102"/>
      <c r="W321" s="102"/>
      <c r="X321" s="102"/>
      <c r="Y321" s="102"/>
    </row>
    <row r="322" spans="1:25" x14ac:dyDescent="0.2">
      <c r="A322" s="225">
        <v>248</v>
      </c>
      <c r="B322" s="84"/>
      <c r="D322" s="14"/>
      <c r="E322" s="15"/>
      <c r="F322" s="167"/>
      <c r="G322" s="315"/>
      <c r="H322" s="283"/>
      <c r="I322" s="487"/>
      <c r="J322" s="487"/>
      <c r="K322" s="487"/>
      <c r="L322" s="491"/>
      <c r="M322" s="487"/>
      <c r="N322" s="487"/>
      <c r="O322" s="487"/>
      <c r="P322" s="487"/>
      <c r="Q322" s="237"/>
      <c r="R322" s="237"/>
      <c r="S322" s="237"/>
      <c r="T322" s="237"/>
      <c r="U322" s="102"/>
      <c r="V322" s="102"/>
      <c r="W322" s="102"/>
      <c r="X322" s="102"/>
      <c r="Y322" s="102"/>
    </row>
    <row r="323" spans="1:25" ht="15" x14ac:dyDescent="0.25">
      <c r="A323" s="226">
        <v>249</v>
      </c>
      <c r="B323" s="88" t="s">
        <v>188</v>
      </c>
      <c r="C323" s="52"/>
      <c r="D323" s="52"/>
      <c r="E323" s="50"/>
      <c r="F323" s="163"/>
      <c r="G323" s="306">
        <f>SUM(G310:G322)</f>
        <v>15449.94</v>
      </c>
      <c r="H323" s="271"/>
      <c r="I323" s="487"/>
      <c r="J323" s="487"/>
      <c r="K323" s="487"/>
      <c r="L323" s="491"/>
      <c r="M323" s="487"/>
      <c r="N323" s="487"/>
      <c r="O323" s="487"/>
      <c r="P323" s="487"/>
      <c r="Q323" s="237"/>
      <c r="R323" s="237"/>
      <c r="S323" s="237"/>
      <c r="T323" s="237"/>
      <c r="U323" s="102"/>
      <c r="V323" s="102"/>
      <c r="W323" s="102"/>
      <c r="X323" s="102"/>
      <c r="Y323" s="102"/>
    </row>
    <row r="324" spans="1:25" s="14" customFormat="1" ht="15" x14ac:dyDescent="0.25">
      <c r="A324" s="223"/>
      <c r="B324" s="82"/>
      <c r="C324" s="59"/>
      <c r="D324" s="59"/>
      <c r="E324" s="23"/>
      <c r="F324" s="162"/>
      <c r="G324" s="304"/>
      <c r="H324" s="269"/>
      <c r="I324" s="487"/>
      <c r="J324" s="487"/>
      <c r="K324" s="487"/>
      <c r="L324" s="491"/>
      <c r="M324" s="487"/>
      <c r="N324" s="487"/>
      <c r="O324" s="487"/>
      <c r="P324" s="487"/>
      <c r="Q324" s="237"/>
      <c r="R324" s="237"/>
      <c r="S324" s="237"/>
      <c r="T324" s="237"/>
      <c r="U324" s="102"/>
      <c r="V324" s="102"/>
      <c r="W324" s="102"/>
      <c r="X324" s="102"/>
      <c r="Y324" s="102"/>
    </row>
    <row r="325" spans="1:25" s="14" customFormat="1" ht="15.75" thickBot="1" x14ac:dyDescent="0.3">
      <c r="A325" s="222"/>
      <c r="B325" s="35"/>
      <c r="C325" s="21"/>
      <c r="D325" s="21"/>
      <c r="E325" s="15"/>
      <c r="F325" s="167"/>
      <c r="G325" s="315"/>
      <c r="H325" s="283"/>
      <c r="I325" s="487"/>
      <c r="J325" s="487"/>
      <c r="K325" s="487"/>
      <c r="L325" s="491"/>
      <c r="M325" s="487"/>
      <c r="N325" s="487"/>
      <c r="O325" s="487"/>
      <c r="P325" s="487"/>
      <c r="Q325" s="237"/>
      <c r="R325" s="237"/>
      <c r="S325" s="237"/>
      <c r="T325" s="237"/>
      <c r="U325" s="102"/>
      <c r="V325" s="102"/>
      <c r="W325" s="102"/>
      <c r="X325" s="102"/>
      <c r="Y325" s="102"/>
    </row>
    <row r="326" spans="1:25" ht="15.75" thickBot="1" x14ac:dyDescent="0.3">
      <c r="A326" s="328">
        <v>250</v>
      </c>
      <c r="B326" s="76" t="s">
        <v>230</v>
      </c>
      <c r="C326" s="77"/>
      <c r="D326" s="77"/>
      <c r="E326" s="46"/>
      <c r="F326" s="166"/>
      <c r="G326" s="312">
        <f>+G171+G188+G203+G228+G253+G285+G307+G323</f>
        <v>3473947.9731261702</v>
      </c>
      <c r="H326" s="287"/>
      <c r="I326" s="487"/>
      <c r="J326" s="487"/>
      <c r="K326" s="487"/>
      <c r="L326" s="491"/>
      <c r="M326" s="487"/>
      <c r="N326" s="487"/>
      <c r="O326" s="487"/>
      <c r="P326" s="487"/>
      <c r="Q326" s="237"/>
      <c r="R326" s="237"/>
      <c r="S326" s="237"/>
      <c r="T326" s="237"/>
      <c r="U326" s="102"/>
      <c r="V326" s="102"/>
      <c r="W326" s="102"/>
      <c r="X326" s="102"/>
      <c r="Y326" s="102"/>
    </row>
    <row r="327" spans="1:25" ht="15" thickBot="1" x14ac:dyDescent="0.25">
      <c r="A327" s="230"/>
      <c r="B327" s="36"/>
      <c r="C327" s="13"/>
      <c r="D327" s="13"/>
      <c r="E327" s="98"/>
      <c r="F327" s="164"/>
      <c r="G327" s="310"/>
      <c r="H327" s="291"/>
      <c r="I327" s="487"/>
      <c r="J327" s="487"/>
      <c r="K327" s="487"/>
      <c r="L327" s="491"/>
      <c r="M327" s="487"/>
      <c r="N327" s="487"/>
      <c r="O327" s="487"/>
      <c r="P327" s="487"/>
      <c r="Q327" s="237"/>
      <c r="R327" s="237"/>
      <c r="S327" s="237"/>
      <c r="T327" s="237"/>
      <c r="U327" s="102"/>
      <c r="V327" s="102"/>
      <c r="W327" s="102"/>
      <c r="X327" s="102"/>
      <c r="Y327" s="102"/>
    </row>
    <row r="328" spans="1:25" ht="15.75" thickBot="1" x14ac:dyDescent="0.3">
      <c r="A328" s="231"/>
      <c r="B328" s="76" t="s">
        <v>189</v>
      </c>
      <c r="C328" s="77"/>
      <c r="D328" s="77"/>
      <c r="E328" s="122"/>
      <c r="F328" s="174"/>
      <c r="G328" s="322"/>
      <c r="H328" s="292"/>
      <c r="I328" s="487"/>
      <c r="J328" s="487"/>
      <c r="K328" s="487"/>
      <c r="L328" s="491"/>
      <c r="M328" s="487"/>
      <c r="N328" s="487"/>
      <c r="O328" s="487"/>
      <c r="P328" s="487"/>
      <c r="Q328" s="237"/>
      <c r="R328" s="237"/>
      <c r="S328" s="237"/>
      <c r="T328" s="237"/>
      <c r="U328" s="102"/>
      <c r="V328" s="102"/>
      <c r="W328" s="102"/>
      <c r="X328" s="102"/>
      <c r="Y328" s="102"/>
    </row>
    <row r="329" spans="1:25" s="5" customFormat="1" ht="15" x14ac:dyDescent="0.25">
      <c r="A329" s="225"/>
      <c r="B329" s="89" t="s">
        <v>288</v>
      </c>
      <c r="C329" s="54"/>
      <c r="D329" s="54"/>
      <c r="E329" s="78"/>
      <c r="F329" s="170"/>
      <c r="G329" s="318"/>
      <c r="H329" s="286"/>
      <c r="I329" s="489"/>
      <c r="J329" s="489"/>
      <c r="K329" s="489"/>
      <c r="L329" s="491"/>
      <c r="M329" s="489"/>
      <c r="N329" s="489"/>
      <c r="O329" s="489"/>
      <c r="P329" s="489"/>
      <c r="Q329" s="244"/>
      <c r="R329" s="244"/>
      <c r="S329" s="244"/>
      <c r="T329" s="244"/>
      <c r="U329" s="240"/>
      <c r="V329" s="240"/>
      <c r="W329" s="240"/>
      <c r="X329" s="240"/>
      <c r="Y329" s="240"/>
    </row>
    <row r="330" spans="1:25" x14ac:dyDescent="0.2">
      <c r="A330" s="225">
        <v>251</v>
      </c>
      <c r="B330" s="37"/>
      <c r="C330" s="10" t="s">
        <v>190</v>
      </c>
      <c r="D330" s="10"/>
      <c r="E330" s="19" t="s">
        <v>222</v>
      </c>
      <c r="F330" s="159">
        <v>3100</v>
      </c>
      <c r="G330" s="303">
        <v>0</v>
      </c>
      <c r="H330" s="268"/>
      <c r="I330" s="487"/>
      <c r="J330" s="487"/>
      <c r="K330" s="487"/>
      <c r="L330" s="491"/>
      <c r="M330" s="487"/>
      <c r="N330" s="487"/>
      <c r="O330" s="487"/>
      <c r="P330" s="487"/>
      <c r="Q330" s="237"/>
      <c r="R330" s="237"/>
      <c r="S330" s="237"/>
      <c r="T330" s="237"/>
      <c r="U330" s="102"/>
      <c r="V330" s="102"/>
      <c r="W330" s="102"/>
      <c r="X330" s="102"/>
      <c r="Y330" s="102"/>
    </row>
    <row r="331" spans="1:25" x14ac:dyDescent="0.2">
      <c r="A331" s="225">
        <v>252</v>
      </c>
      <c r="B331" s="37"/>
      <c r="C331" s="10" t="s">
        <v>250</v>
      </c>
      <c r="D331" s="10"/>
      <c r="E331" s="19" t="s">
        <v>251</v>
      </c>
      <c r="F331" s="159" t="s">
        <v>191</v>
      </c>
      <c r="G331" s="303"/>
      <c r="H331" s="268"/>
      <c r="I331" s="487"/>
      <c r="J331" s="487"/>
      <c r="K331" s="487"/>
      <c r="L331" s="491"/>
      <c r="M331" s="487"/>
      <c r="N331" s="487"/>
      <c r="O331" s="487"/>
      <c r="P331" s="487"/>
      <c r="Q331" s="237"/>
      <c r="R331" s="237"/>
      <c r="S331" s="237"/>
      <c r="T331" s="237"/>
      <c r="U331" s="102"/>
      <c r="V331" s="102"/>
      <c r="W331" s="102"/>
      <c r="X331" s="102"/>
      <c r="Y331" s="102"/>
    </row>
    <row r="332" spans="1:25" x14ac:dyDescent="0.2">
      <c r="A332" s="225">
        <v>253</v>
      </c>
      <c r="B332" s="37"/>
      <c r="C332" s="10" t="s">
        <v>192</v>
      </c>
      <c r="D332" s="10"/>
      <c r="E332" s="19" t="s">
        <v>193</v>
      </c>
      <c r="F332" s="159" t="s">
        <v>191</v>
      </c>
      <c r="G332" s="303">
        <f>+SUM('KIPP Assumptions'!D$65:D$68)</f>
        <v>256500</v>
      </c>
      <c r="H332" s="268"/>
      <c r="I332" s="487"/>
      <c r="J332" s="487"/>
      <c r="K332" s="487"/>
      <c r="L332" s="491"/>
      <c r="M332" s="487"/>
      <c r="N332" s="487"/>
      <c r="O332" s="487"/>
      <c r="P332" s="487"/>
      <c r="Q332" s="237"/>
      <c r="R332" s="237"/>
      <c r="S332" s="237"/>
      <c r="T332" s="237"/>
      <c r="U332" s="102"/>
      <c r="V332" s="102"/>
      <c r="W332" s="102"/>
      <c r="X332" s="102"/>
      <c r="Y332" s="102"/>
    </row>
    <row r="333" spans="1:25" x14ac:dyDescent="0.2">
      <c r="A333" s="225">
        <v>254</v>
      </c>
      <c r="B333" s="37"/>
      <c r="C333" s="10" t="s">
        <v>227</v>
      </c>
      <c r="D333" s="10"/>
      <c r="E333" s="19" t="s">
        <v>224</v>
      </c>
      <c r="F333" s="159" t="s">
        <v>191</v>
      </c>
      <c r="G333" s="303"/>
      <c r="H333" s="268"/>
      <c r="I333" s="487"/>
      <c r="J333" s="487"/>
      <c r="K333" s="487"/>
      <c r="L333" s="491"/>
      <c r="M333" s="487"/>
      <c r="N333" s="487"/>
      <c r="O333" s="487"/>
      <c r="P333" s="487"/>
      <c r="Q333" s="237"/>
      <c r="R333" s="237"/>
      <c r="S333" s="237"/>
      <c r="T333" s="237"/>
      <c r="U333" s="102"/>
      <c r="V333" s="102"/>
      <c r="W333" s="102"/>
      <c r="X333" s="102"/>
      <c r="Y333" s="102"/>
    </row>
    <row r="334" spans="1:25" x14ac:dyDescent="0.2">
      <c r="A334" s="225">
        <v>255</v>
      </c>
      <c r="B334" s="37"/>
      <c r="C334" s="10" t="s">
        <v>110</v>
      </c>
      <c r="D334" s="10"/>
      <c r="E334" s="19" t="s">
        <v>90</v>
      </c>
      <c r="F334" s="159" t="s">
        <v>191</v>
      </c>
      <c r="G334" s="303"/>
      <c r="H334" s="268"/>
      <c r="I334" s="487"/>
      <c r="J334" s="487"/>
      <c r="K334" s="487"/>
      <c r="L334" s="491"/>
      <c r="M334" s="487"/>
      <c r="N334" s="487"/>
      <c r="O334" s="487"/>
      <c r="P334" s="487"/>
      <c r="Q334" s="237"/>
      <c r="R334" s="237"/>
      <c r="S334" s="237"/>
      <c r="T334" s="237"/>
      <c r="U334" s="102"/>
      <c r="V334" s="102"/>
      <c r="W334" s="102"/>
      <c r="X334" s="102"/>
      <c r="Y334" s="102"/>
    </row>
    <row r="335" spans="1:25" x14ac:dyDescent="0.2">
      <c r="A335" s="225">
        <v>256</v>
      </c>
      <c r="B335" s="37"/>
      <c r="C335" s="10" t="s">
        <v>0</v>
      </c>
      <c r="D335" s="10"/>
      <c r="E335" s="19" t="s">
        <v>194</v>
      </c>
      <c r="F335" s="159" t="s">
        <v>191</v>
      </c>
      <c r="G335" s="303"/>
      <c r="H335" s="268"/>
      <c r="I335" s="487"/>
      <c r="J335" s="487"/>
      <c r="K335" s="487"/>
      <c r="L335" s="491"/>
      <c r="M335" s="487"/>
      <c r="N335" s="487"/>
      <c r="O335" s="487"/>
      <c r="P335" s="487"/>
      <c r="Q335" s="237"/>
      <c r="R335" s="237"/>
      <c r="S335" s="237"/>
      <c r="T335" s="237"/>
      <c r="U335" s="102"/>
      <c r="V335" s="102"/>
      <c r="W335" s="102"/>
      <c r="X335" s="102"/>
      <c r="Y335" s="102"/>
    </row>
    <row r="336" spans="1:25" x14ac:dyDescent="0.2">
      <c r="A336" s="225">
        <v>257</v>
      </c>
      <c r="B336" s="37"/>
      <c r="C336" s="10" t="s">
        <v>187</v>
      </c>
      <c r="D336" s="10"/>
      <c r="E336" s="19" t="s">
        <v>149</v>
      </c>
      <c r="F336" s="159" t="s">
        <v>191</v>
      </c>
      <c r="G336" s="303">
        <v>5514.12</v>
      </c>
      <c r="H336" s="268" t="s">
        <v>516</v>
      </c>
      <c r="I336" s="487"/>
      <c r="J336" s="491"/>
      <c r="K336" s="487"/>
      <c r="L336" s="491"/>
      <c r="M336" s="487"/>
      <c r="N336" s="487"/>
      <c r="O336" s="487"/>
      <c r="P336" s="487"/>
      <c r="Q336" s="237"/>
      <c r="R336" s="237"/>
      <c r="S336" s="237"/>
      <c r="T336" s="237"/>
      <c r="U336" s="102"/>
      <c r="V336" s="102"/>
      <c r="W336" s="102"/>
      <c r="X336" s="102"/>
      <c r="Y336" s="102"/>
    </row>
    <row r="337" spans="1:25" x14ac:dyDescent="0.2">
      <c r="A337" s="225">
        <v>258</v>
      </c>
      <c r="B337" s="37"/>
      <c r="C337" s="10" t="s">
        <v>228</v>
      </c>
      <c r="D337" s="10"/>
      <c r="E337" s="19" t="s">
        <v>229</v>
      </c>
      <c r="F337" s="159">
        <v>3100</v>
      </c>
      <c r="G337" s="303"/>
      <c r="H337" s="268"/>
      <c r="I337" s="487"/>
      <c r="J337" s="487"/>
      <c r="K337" s="487"/>
      <c r="L337" s="491"/>
      <c r="M337" s="487"/>
      <c r="N337" s="487"/>
      <c r="O337" s="487"/>
      <c r="P337" s="487"/>
      <c r="Q337" s="237"/>
      <c r="R337" s="237"/>
      <c r="S337" s="237"/>
      <c r="T337" s="237"/>
      <c r="U337" s="102"/>
      <c r="V337" s="102"/>
      <c r="W337" s="102"/>
      <c r="X337" s="102"/>
      <c r="Y337" s="102"/>
    </row>
    <row r="338" spans="1:25" x14ac:dyDescent="0.2">
      <c r="A338" s="225">
        <v>259</v>
      </c>
      <c r="B338" s="37"/>
      <c r="C338" s="10" t="s">
        <v>143</v>
      </c>
      <c r="D338" s="10"/>
      <c r="E338" s="19" t="s">
        <v>144</v>
      </c>
      <c r="F338" s="159" t="s">
        <v>191</v>
      </c>
      <c r="G338" s="303"/>
      <c r="H338" s="268"/>
      <c r="I338" s="487"/>
      <c r="J338" s="487"/>
      <c r="K338" s="487"/>
      <c r="L338" s="491"/>
      <c r="M338" s="487"/>
      <c r="N338" s="487"/>
      <c r="O338" s="487"/>
      <c r="P338" s="487"/>
      <c r="Q338" s="237"/>
      <c r="R338" s="237"/>
      <c r="S338" s="237"/>
      <c r="T338" s="237"/>
      <c r="U338" s="102"/>
      <c r="V338" s="102"/>
      <c r="W338" s="102"/>
      <c r="X338" s="102"/>
      <c r="Y338" s="102"/>
    </row>
    <row r="339" spans="1:25" x14ac:dyDescent="0.2">
      <c r="A339" s="225">
        <v>260</v>
      </c>
      <c r="B339" s="37"/>
      <c r="C339" s="10" t="s">
        <v>93</v>
      </c>
      <c r="D339" s="10"/>
      <c r="E339" s="19" t="s">
        <v>94</v>
      </c>
      <c r="F339" s="159" t="s">
        <v>191</v>
      </c>
      <c r="G339" s="303"/>
      <c r="H339" s="268"/>
      <c r="I339" s="487"/>
      <c r="J339" s="487"/>
      <c r="K339" s="487"/>
      <c r="L339" s="491"/>
      <c r="M339" s="487"/>
      <c r="N339" s="487"/>
      <c r="O339" s="487"/>
      <c r="P339" s="487"/>
      <c r="Q339" s="237"/>
      <c r="R339" s="237"/>
      <c r="S339" s="237"/>
      <c r="T339" s="237"/>
      <c r="U339" s="102"/>
      <c r="V339" s="102"/>
      <c r="W339" s="102"/>
      <c r="X339" s="102"/>
      <c r="Y339" s="102"/>
    </row>
    <row r="340" spans="1:25" x14ac:dyDescent="0.2">
      <c r="A340" s="225">
        <v>261</v>
      </c>
      <c r="B340" s="37"/>
      <c r="C340" s="10" t="s">
        <v>295</v>
      </c>
      <c r="D340" s="10"/>
      <c r="E340" s="19" t="s">
        <v>97</v>
      </c>
      <c r="F340" s="159" t="s">
        <v>12</v>
      </c>
      <c r="G340" s="303"/>
      <c r="H340" s="268"/>
      <c r="I340" s="487"/>
      <c r="J340" s="487"/>
      <c r="K340" s="487"/>
      <c r="L340" s="491"/>
      <c r="M340" s="487"/>
      <c r="N340" s="487"/>
      <c r="O340" s="487"/>
      <c r="P340" s="487"/>
      <c r="Q340" s="237"/>
      <c r="R340" s="237"/>
      <c r="S340" s="237"/>
      <c r="T340" s="237"/>
      <c r="U340" s="102"/>
      <c r="V340" s="102"/>
      <c r="W340" s="102"/>
      <c r="X340" s="102"/>
      <c r="Y340" s="102"/>
    </row>
    <row r="341" spans="1:25" x14ac:dyDescent="0.2">
      <c r="A341" s="225">
        <v>262</v>
      </c>
      <c r="B341" s="37"/>
      <c r="C341" s="10" t="s">
        <v>98</v>
      </c>
      <c r="D341" s="10"/>
      <c r="E341" s="19" t="s">
        <v>99</v>
      </c>
      <c r="F341" s="159" t="s">
        <v>12</v>
      </c>
      <c r="G341" s="303"/>
      <c r="H341" s="268"/>
      <c r="I341" s="487"/>
      <c r="J341" s="487"/>
      <c r="K341" s="487"/>
      <c r="L341" s="491"/>
      <c r="M341" s="487"/>
      <c r="N341" s="487"/>
      <c r="O341" s="487"/>
      <c r="P341" s="487"/>
      <c r="Q341" s="237"/>
      <c r="R341" s="237"/>
      <c r="S341" s="237"/>
      <c r="T341" s="237"/>
      <c r="U341" s="102"/>
      <c r="V341" s="102"/>
      <c r="W341" s="102"/>
      <c r="X341" s="102"/>
      <c r="Y341" s="102"/>
    </row>
    <row r="342" spans="1:25" x14ac:dyDescent="0.2">
      <c r="A342" s="225">
        <v>263</v>
      </c>
      <c r="B342" s="37"/>
      <c r="C342" s="10" t="s">
        <v>100</v>
      </c>
      <c r="D342" s="10"/>
      <c r="E342" s="19" t="s">
        <v>101</v>
      </c>
      <c r="F342" s="159" t="s">
        <v>12</v>
      </c>
      <c r="G342" s="303"/>
      <c r="H342" s="268"/>
      <c r="I342" s="487"/>
      <c r="J342" s="487"/>
      <c r="K342" s="487"/>
      <c r="L342" s="491"/>
      <c r="M342" s="487"/>
      <c r="N342" s="487"/>
      <c r="O342" s="487"/>
      <c r="P342" s="487"/>
      <c r="Q342" s="237"/>
      <c r="R342" s="237"/>
      <c r="S342" s="237"/>
      <c r="T342" s="237"/>
      <c r="U342" s="102"/>
      <c r="V342" s="102"/>
      <c r="W342" s="102"/>
      <c r="X342" s="102"/>
      <c r="Y342" s="102"/>
    </row>
    <row r="343" spans="1:25" x14ac:dyDescent="0.2">
      <c r="A343" s="225">
        <v>264</v>
      </c>
      <c r="B343" s="37"/>
      <c r="C343" s="10" t="s">
        <v>219</v>
      </c>
      <c r="D343" s="10"/>
      <c r="E343" s="19" t="s">
        <v>220</v>
      </c>
      <c r="F343" s="159" t="s">
        <v>12</v>
      </c>
      <c r="G343" s="303"/>
      <c r="H343" s="268"/>
      <c r="I343" s="487"/>
      <c r="J343" s="487"/>
      <c r="K343" s="487"/>
      <c r="L343" s="491"/>
      <c r="M343" s="487"/>
      <c r="N343" s="487"/>
      <c r="O343" s="487"/>
      <c r="P343" s="487"/>
      <c r="Q343" s="237"/>
      <c r="R343" s="237"/>
      <c r="S343" s="237"/>
      <c r="T343" s="237"/>
      <c r="U343" s="102"/>
      <c r="V343" s="102"/>
      <c r="W343" s="102"/>
      <c r="X343" s="102"/>
      <c r="Y343" s="102"/>
    </row>
    <row r="344" spans="1:25" x14ac:dyDescent="0.2">
      <c r="A344" s="225">
        <v>265</v>
      </c>
      <c r="B344" s="37"/>
      <c r="C344" s="10" t="s">
        <v>102</v>
      </c>
      <c r="D344" s="10"/>
      <c r="E344" s="19" t="s">
        <v>103</v>
      </c>
      <c r="F344" s="159" t="s">
        <v>12</v>
      </c>
      <c r="G344" s="303"/>
      <c r="H344" s="268"/>
      <c r="I344" s="487"/>
      <c r="J344" s="487"/>
      <c r="K344" s="487"/>
      <c r="L344" s="491"/>
      <c r="M344" s="487"/>
      <c r="N344" s="487"/>
      <c r="O344" s="487"/>
      <c r="P344" s="487"/>
      <c r="Q344" s="237"/>
      <c r="R344" s="237"/>
      <c r="S344" s="237"/>
      <c r="T344" s="237"/>
      <c r="U344" s="102"/>
      <c r="V344" s="102"/>
      <c r="W344" s="102"/>
      <c r="X344" s="102"/>
      <c r="Y344" s="102"/>
    </row>
    <row r="345" spans="1:25" x14ac:dyDescent="0.2">
      <c r="A345" s="225">
        <v>266</v>
      </c>
      <c r="B345" s="37"/>
      <c r="C345" s="10" t="s">
        <v>104</v>
      </c>
      <c r="D345" s="10"/>
      <c r="E345" s="19" t="s">
        <v>105</v>
      </c>
      <c r="F345" s="159" t="s">
        <v>12</v>
      </c>
      <c r="G345" s="303"/>
      <c r="H345" s="268"/>
      <c r="I345" s="487"/>
      <c r="J345" s="487"/>
      <c r="K345" s="487"/>
      <c r="L345" s="491"/>
      <c r="M345" s="487"/>
      <c r="N345" s="487"/>
      <c r="O345" s="487"/>
      <c r="P345" s="487"/>
      <c r="Q345" s="237"/>
      <c r="R345" s="237"/>
      <c r="S345" s="237"/>
      <c r="T345" s="237"/>
      <c r="U345" s="102"/>
      <c r="V345" s="102"/>
      <c r="W345" s="102"/>
      <c r="X345" s="102"/>
      <c r="Y345" s="102"/>
    </row>
    <row r="346" spans="1:25" x14ac:dyDescent="0.2">
      <c r="A346" s="225">
        <v>267</v>
      </c>
      <c r="B346" s="37"/>
      <c r="C346" s="86" t="s">
        <v>283</v>
      </c>
      <c r="D346" s="10"/>
      <c r="E346" s="19"/>
      <c r="F346" s="159"/>
      <c r="G346" s="303"/>
      <c r="H346" s="268"/>
      <c r="I346" s="487"/>
      <c r="J346" s="487"/>
      <c r="K346" s="487"/>
      <c r="L346" s="491"/>
      <c r="M346" s="487"/>
      <c r="N346" s="487"/>
      <c r="O346" s="487"/>
      <c r="P346" s="487"/>
      <c r="Q346" s="237"/>
      <c r="R346" s="237"/>
      <c r="S346" s="237"/>
      <c r="T346" s="237"/>
      <c r="U346" s="102"/>
      <c r="V346" s="102"/>
      <c r="W346" s="102"/>
      <c r="X346" s="102"/>
      <c r="Y346" s="102"/>
    </row>
    <row r="347" spans="1:25" x14ac:dyDescent="0.2">
      <c r="A347" s="225">
        <v>268</v>
      </c>
      <c r="B347" s="37"/>
      <c r="C347" s="86"/>
      <c r="D347" s="10"/>
      <c r="E347" s="19"/>
      <c r="F347" s="159"/>
      <c r="G347" s="303"/>
      <c r="H347" s="268"/>
      <c r="I347" s="487"/>
      <c r="J347" s="487"/>
      <c r="K347" s="487"/>
      <c r="L347" s="491"/>
      <c r="M347" s="487"/>
      <c r="N347" s="487"/>
      <c r="O347" s="487"/>
      <c r="P347" s="487"/>
      <c r="Q347" s="237"/>
      <c r="R347" s="237"/>
      <c r="S347" s="237"/>
      <c r="T347" s="237"/>
      <c r="U347" s="102"/>
      <c r="V347" s="102"/>
      <c r="W347" s="102"/>
      <c r="X347" s="102"/>
      <c r="Y347" s="102"/>
    </row>
    <row r="348" spans="1:25" x14ac:dyDescent="0.2">
      <c r="A348" s="225">
        <v>269</v>
      </c>
      <c r="B348" s="84"/>
      <c r="D348" s="14"/>
      <c r="E348" s="15"/>
      <c r="F348" s="167"/>
      <c r="G348" s="315"/>
      <c r="H348" s="283"/>
      <c r="I348" s="487"/>
      <c r="J348" s="487"/>
      <c r="K348" s="487"/>
      <c r="L348" s="491"/>
      <c r="M348" s="487"/>
      <c r="N348" s="487"/>
      <c r="O348" s="487"/>
      <c r="P348" s="487"/>
      <c r="Q348" s="237"/>
      <c r="R348" s="237"/>
      <c r="S348" s="237"/>
      <c r="T348" s="237"/>
      <c r="U348" s="102"/>
      <c r="V348" s="102"/>
      <c r="W348" s="102"/>
      <c r="X348" s="102"/>
      <c r="Y348" s="102"/>
    </row>
    <row r="349" spans="1:25" ht="15" x14ac:dyDescent="0.25">
      <c r="A349" s="226">
        <v>270</v>
      </c>
      <c r="B349" s="88" t="s">
        <v>195</v>
      </c>
      <c r="C349" s="52"/>
      <c r="D349" s="52"/>
      <c r="E349" s="50"/>
      <c r="F349" s="163"/>
      <c r="G349" s="306">
        <f>SUM(G330:G348)</f>
        <v>262014.12</v>
      </c>
      <c r="H349" s="271"/>
      <c r="I349" s="487"/>
      <c r="J349" s="487"/>
      <c r="K349" s="487"/>
      <c r="L349" s="491"/>
      <c r="M349" s="487"/>
      <c r="N349" s="487"/>
      <c r="O349" s="487"/>
      <c r="P349" s="487"/>
      <c r="Q349" s="237"/>
      <c r="R349" s="237"/>
      <c r="S349" s="237"/>
      <c r="T349" s="237"/>
      <c r="U349" s="102"/>
      <c r="V349" s="102"/>
      <c r="W349" s="102"/>
      <c r="X349" s="102"/>
      <c r="Y349" s="102"/>
    </row>
    <row r="350" spans="1:25" ht="6" customHeight="1" x14ac:dyDescent="0.2">
      <c r="A350" s="225"/>
      <c r="B350" s="37"/>
      <c r="C350" s="10"/>
      <c r="D350" s="10"/>
      <c r="E350" s="19"/>
      <c r="F350" s="159"/>
      <c r="G350" s="303"/>
      <c r="H350" s="268"/>
      <c r="I350" s="487"/>
      <c r="J350" s="487"/>
      <c r="K350" s="487"/>
      <c r="L350" s="491"/>
      <c r="M350" s="487"/>
      <c r="N350" s="487"/>
      <c r="O350" s="487"/>
      <c r="P350" s="487"/>
      <c r="Q350" s="237"/>
      <c r="R350" s="237"/>
      <c r="S350" s="237"/>
      <c r="T350" s="237"/>
      <c r="U350" s="102"/>
      <c r="V350" s="102"/>
      <c r="W350" s="102"/>
      <c r="X350" s="102"/>
      <c r="Y350" s="102"/>
    </row>
    <row r="351" spans="1:25" ht="7.5" customHeight="1" x14ac:dyDescent="0.2">
      <c r="A351" s="225"/>
      <c r="B351" s="37"/>
      <c r="C351" s="10"/>
      <c r="D351" s="10"/>
      <c r="E351" s="19"/>
      <c r="F351" s="159"/>
      <c r="G351" s="303"/>
      <c r="H351" s="268"/>
      <c r="I351" s="487"/>
      <c r="J351" s="487"/>
      <c r="K351" s="487"/>
      <c r="L351" s="491"/>
      <c r="M351" s="487"/>
      <c r="N351" s="487"/>
      <c r="O351" s="487"/>
      <c r="P351" s="487"/>
      <c r="Q351" s="237"/>
      <c r="R351" s="237"/>
      <c r="S351" s="237"/>
      <c r="T351" s="237"/>
      <c r="U351" s="102"/>
      <c r="V351" s="102"/>
      <c r="W351" s="102"/>
      <c r="X351" s="102"/>
      <c r="Y351" s="102"/>
    </row>
    <row r="352" spans="1:25" s="5" customFormat="1" ht="15" x14ac:dyDescent="0.25">
      <c r="A352" s="225" t="s">
        <v>33</v>
      </c>
      <c r="B352" s="89" t="s">
        <v>289</v>
      </c>
      <c r="C352" s="54"/>
      <c r="D352" s="54"/>
      <c r="E352" s="62"/>
      <c r="F352" s="158"/>
      <c r="G352" s="302"/>
      <c r="H352" s="267"/>
      <c r="I352" s="487"/>
      <c r="J352" s="487"/>
      <c r="K352" s="487"/>
      <c r="L352" s="491"/>
      <c r="M352" s="487"/>
      <c r="N352" s="487"/>
      <c r="O352" s="487"/>
      <c r="P352" s="487"/>
      <c r="Q352" s="237"/>
      <c r="R352" s="237"/>
      <c r="S352" s="237"/>
      <c r="T352" s="237"/>
      <c r="U352" s="240"/>
      <c r="V352" s="240"/>
      <c r="W352" s="240"/>
      <c r="X352" s="240"/>
      <c r="Y352" s="240"/>
    </row>
    <row r="353" spans="1:25" x14ac:dyDescent="0.2">
      <c r="A353" s="225">
        <v>271</v>
      </c>
      <c r="B353" s="37"/>
      <c r="C353" s="10" t="s">
        <v>76</v>
      </c>
      <c r="D353" s="10"/>
      <c r="E353" s="19" t="s">
        <v>222</v>
      </c>
      <c r="F353" s="159" t="s">
        <v>13</v>
      </c>
      <c r="G353" s="303"/>
      <c r="H353" s="268"/>
      <c r="I353" s="487"/>
      <c r="J353" s="487"/>
      <c r="K353" s="487"/>
      <c r="L353" s="491"/>
      <c r="M353" s="487"/>
      <c r="N353" s="487"/>
      <c r="O353" s="487"/>
      <c r="P353" s="487"/>
      <c r="Q353" s="237"/>
      <c r="R353" s="237"/>
      <c r="S353" s="237"/>
      <c r="T353" s="237"/>
      <c r="U353" s="102"/>
      <c r="V353" s="102"/>
      <c r="W353" s="102"/>
      <c r="X353" s="102"/>
      <c r="Y353" s="102"/>
    </row>
    <row r="354" spans="1:25" x14ac:dyDescent="0.2">
      <c r="A354" s="225">
        <v>272</v>
      </c>
      <c r="B354" s="37"/>
      <c r="C354" s="10" t="s">
        <v>110</v>
      </c>
      <c r="D354" s="10"/>
      <c r="E354" s="19" t="s">
        <v>90</v>
      </c>
      <c r="F354" s="159" t="s">
        <v>196</v>
      </c>
      <c r="G354" s="303"/>
      <c r="H354" s="268"/>
      <c r="I354" s="487"/>
      <c r="J354" s="487"/>
      <c r="K354" s="487"/>
      <c r="L354" s="491"/>
      <c r="M354" s="487"/>
      <c r="N354" s="487"/>
      <c r="O354" s="487"/>
      <c r="P354" s="487"/>
      <c r="Q354" s="237"/>
      <c r="R354" s="237"/>
      <c r="S354" s="237"/>
      <c r="T354" s="237"/>
      <c r="U354" s="102"/>
      <c r="V354" s="102"/>
      <c r="W354" s="102"/>
      <c r="X354" s="102"/>
      <c r="Y354" s="102"/>
    </row>
    <row r="355" spans="1:25" x14ac:dyDescent="0.2">
      <c r="A355" s="225">
        <v>273</v>
      </c>
      <c r="B355" s="37"/>
      <c r="C355" s="10" t="s">
        <v>295</v>
      </c>
      <c r="D355" s="10"/>
      <c r="E355" s="19" t="s">
        <v>97</v>
      </c>
      <c r="F355" s="159" t="s">
        <v>13</v>
      </c>
      <c r="G355" s="303"/>
      <c r="H355" s="268"/>
      <c r="I355" s="487"/>
      <c r="J355" s="487"/>
      <c r="K355" s="487"/>
      <c r="L355" s="491"/>
      <c r="M355" s="487"/>
      <c r="N355" s="487"/>
      <c r="O355" s="487"/>
      <c r="P355" s="487"/>
      <c r="Q355" s="237"/>
      <c r="R355" s="237"/>
      <c r="S355" s="237"/>
      <c r="T355" s="237"/>
      <c r="U355" s="102"/>
      <c r="V355" s="102"/>
      <c r="W355" s="102"/>
      <c r="X355" s="102"/>
      <c r="Y355" s="102"/>
    </row>
    <row r="356" spans="1:25" x14ac:dyDescent="0.2">
      <c r="A356" s="225">
        <v>274</v>
      </c>
      <c r="B356" s="37"/>
      <c r="C356" s="10" t="s">
        <v>98</v>
      </c>
      <c r="D356" s="10"/>
      <c r="E356" s="19" t="s">
        <v>99</v>
      </c>
      <c r="F356" s="159" t="s">
        <v>13</v>
      </c>
      <c r="G356" s="303"/>
      <c r="H356" s="268"/>
      <c r="I356" s="487"/>
      <c r="J356" s="487"/>
      <c r="K356" s="487"/>
      <c r="L356" s="491"/>
      <c r="M356" s="487"/>
      <c r="N356" s="487"/>
      <c r="O356" s="487"/>
      <c r="P356" s="487"/>
      <c r="Q356" s="237"/>
      <c r="R356" s="237"/>
      <c r="S356" s="237"/>
      <c r="T356" s="237"/>
      <c r="U356" s="102"/>
      <c r="V356" s="102"/>
      <c r="W356" s="102"/>
      <c r="X356" s="102"/>
      <c r="Y356" s="102"/>
    </row>
    <row r="357" spans="1:25" x14ac:dyDescent="0.2">
      <c r="A357" s="225">
        <v>275</v>
      </c>
      <c r="B357" s="37"/>
      <c r="C357" s="10" t="s">
        <v>100</v>
      </c>
      <c r="D357" s="10"/>
      <c r="E357" s="19" t="s">
        <v>101</v>
      </c>
      <c r="F357" s="159" t="s">
        <v>13</v>
      </c>
      <c r="G357" s="303"/>
      <c r="H357" s="268"/>
      <c r="I357" s="487"/>
      <c r="J357" s="487"/>
      <c r="K357" s="487"/>
      <c r="L357" s="491"/>
      <c r="M357" s="487"/>
      <c r="N357" s="487"/>
      <c r="O357" s="487"/>
      <c r="P357" s="487"/>
      <c r="Q357" s="237"/>
      <c r="R357" s="237"/>
      <c r="S357" s="237"/>
      <c r="T357" s="237"/>
      <c r="U357" s="102"/>
      <c r="V357" s="102"/>
      <c r="W357" s="102"/>
      <c r="X357" s="102"/>
      <c r="Y357" s="102"/>
    </row>
    <row r="358" spans="1:25" x14ac:dyDescent="0.2">
      <c r="A358" s="225">
        <v>276</v>
      </c>
      <c r="B358" s="37"/>
      <c r="C358" s="10" t="s">
        <v>219</v>
      </c>
      <c r="D358" s="10"/>
      <c r="E358" s="19" t="s">
        <v>220</v>
      </c>
      <c r="F358" s="159" t="s">
        <v>13</v>
      </c>
      <c r="G358" s="303"/>
      <c r="H358" s="268"/>
      <c r="I358" s="487"/>
      <c r="J358" s="487"/>
      <c r="K358" s="487"/>
      <c r="L358" s="491"/>
      <c r="M358" s="487"/>
      <c r="N358" s="487"/>
      <c r="O358" s="487"/>
      <c r="P358" s="487"/>
      <c r="Q358" s="237"/>
      <c r="R358" s="237"/>
      <c r="S358" s="237"/>
      <c r="T358" s="237"/>
      <c r="U358" s="102"/>
      <c r="V358" s="102"/>
      <c r="W358" s="102"/>
      <c r="X358" s="102"/>
      <c r="Y358" s="102"/>
    </row>
    <row r="359" spans="1:25" x14ac:dyDescent="0.2">
      <c r="A359" s="225">
        <v>277</v>
      </c>
      <c r="B359" s="37"/>
      <c r="C359" s="10" t="s">
        <v>102</v>
      </c>
      <c r="D359" s="10"/>
      <c r="E359" s="19" t="s">
        <v>103</v>
      </c>
      <c r="F359" s="159" t="s">
        <v>13</v>
      </c>
      <c r="G359" s="303"/>
      <c r="H359" s="268"/>
      <c r="I359" s="487"/>
      <c r="J359" s="487"/>
      <c r="K359" s="487"/>
      <c r="L359" s="491"/>
      <c r="M359" s="487"/>
      <c r="N359" s="487"/>
      <c r="O359" s="487"/>
      <c r="P359" s="487"/>
      <c r="Q359" s="237"/>
      <c r="R359" s="237"/>
      <c r="S359" s="237"/>
      <c r="T359" s="237"/>
      <c r="U359" s="102"/>
      <c r="V359" s="102"/>
      <c r="W359" s="102"/>
      <c r="X359" s="102"/>
      <c r="Y359" s="102"/>
    </row>
    <row r="360" spans="1:25" x14ac:dyDescent="0.2">
      <c r="A360" s="225">
        <v>278</v>
      </c>
      <c r="B360" s="37"/>
      <c r="C360" s="10" t="s">
        <v>104</v>
      </c>
      <c r="D360" s="10"/>
      <c r="E360" s="19" t="s">
        <v>105</v>
      </c>
      <c r="F360" s="159" t="s">
        <v>13</v>
      </c>
      <c r="G360" s="303"/>
      <c r="H360" s="268"/>
      <c r="I360" s="487"/>
      <c r="J360" s="487"/>
      <c r="K360" s="487"/>
      <c r="L360" s="491"/>
      <c r="M360" s="487"/>
      <c r="N360" s="487"/>
      <c r="O360" s="487"/>
      <c r="P360" s="487"/>
      <c r="Q360" s="237"/>
      <c r="R360" s="237"/>
      <c r="S360" s="237"/>
      <c r="T360" s="237"/>
      <c r="U360" s="102"/>
      <c r="V360" s="102"/>
      <c r="W360" s="102"/>
      <c r="X360" s="102"/>
      <c r="Y360" s="102"/>
    </row>
    <row r="361" spans="1:25" x14ac:dyDescent="0.2">
      <c r="A361" s="225">
        <v>279</v>
      </c>
      <c r="B361" s="37"/>
      <c r="C361" s="86" t="s">
        <v>283</v>
      </c>
      <c r="D361" s="10"/>
      <c r="E361" s="19"/>
      <c r="F361" s="159"/>
      <c r="G361" s="303"/>
      <c r="H361" s="268"/>
      <c r="I361" s="487"/>
      <c r="J361" s="487"/>
      <c r="K361" s="487"/>
      <c r="L361" s="491"/>
      <c r="M361" s="487"/>
      <c r="N361" s="487"/>
      <c r="O361" s="487"/>
      <c r="P361" s="487"/>
      <c r="Q361" s="237"/>
      <c r="R361" s="237"/>
      <c r="S361" s="237"/>
      <c r="T361" s="237"/>
      <c r="U361" s="102"/>
      <c r="V361" s="102"/>
      <c r="W361" s="102"/>
      <c r="X361" s="102"/>
      <c r="Y361" s="102"/>
    </row>
    <row r="362" spans="1:25" x14ac:dyDescent="0.2">
      <c r="A362" s="225">
        <v>280</v>
      </c>
      <c r="B362" s="37"/>
      <c r="C362" s="86"/>
      <c r="D362" s="10"/>
      <c r="E362" s="19"/>
      <c r="F362" s="159"/>
      <c r="G362" s="303"/>
      <c r="H362" s="268"/>
      <c r="I362" s="487"/>
      <c r="J362" s="487"/>
      <c r="K362" s="487"/>
      <c r="L362" s="491"/>
      <c r="M362" s="487"/>
      <c r="N362" s="487"/>
      <c r="O362" s="487"/>
      <c r="P362" s="487"/>
      <c r="Q362" s="237"/>
      <c r="R362" s="237"/>
      <c r="S362" s="237"/>
      <c r="T362" s="237"/>
      <c r="U362" s="102"/>
      <c r="V362" s="102"/>
      <c r="W362" s="102"/>
      <c r="X362" s="102"/>
      <c r="Y362" s="102"/>
    </row>
    <row r="363" spans="1:25" x14ac:dyDescent="0.2">
      <c r="A363" s="225"/>
      <c r="B363" s="84"/>
      <c r="D363" s="14"/>
      <c r="E363" s="15"/>
      <c r="F363" s="167"/>
      <c r="G363" s="315"/>
      <c r="H363" s="283"/>
      <c r="I363" s="487"/>
      <c r="J363" s="487"/>
      <c r="K363" s="487"/>
      <c r="L363" s="491"/>
      <c r="M363" s="487"/>
      <c r="N363" s="487"/>
      <c r="O363" s="487"/>
      <c r="P363" s="487"/>
      <c r="Q363" s="237"/>
      <c r="R363" s="237"/>
      <c r="S363" s="237"/>
      <c r="T363" s="237"/>
      <c r="U363" s="102"/>
      <c r="V363" s="102"/>
      <c r="W363" s="102"/>
      <c r="X363" s="102"/>
      <c r="Y363" s="102"/>
    </row>
    <row r="364" spans="1:25" ht="15" x14ac:dyDescent="0.25">
      <c r="A364" s="226">
        <v>281</v>
      </c>
      <c r="B364" s="88" t="s">
        <v>290</v>
      </c>
      <c r="C364" s="52"/>
      <c r="D364" s="52"/>
      <c r="E364" s="50"/>
      <c r="F364" s="163"/>
      <c r="G364" s="306">
        <f>SUM(G353:G363)</f>
        <v>0</v>
      </c>
      <c r="H364" s="271"/>
      <c r="I364" s="487"/>
      <c r="J364" s="487"/>
      <c r="K364" s="487"/>
      <c r="L364" s="491"/>
      <c r="M364" s="487"/>
      <c r="N364" s="487"/>
      <c r="O364" s="487"/>
      <c r="P364" s="487"/>
      <c r="Q364" s="237"/>
      <c r="R364" s="237"/>
      <c r="S364" s="237"/>
      <c r="T364" s="237"/>
      <c r="U364" s="102"/>
      <c r="V364" s="102"/>
      <c r="W364" s="102"/>
      <c r="X364" s="102"/>
      <c r="Y364" s="102"/>
    </row>
    <row r="365" spans="1:25" ht="15.75" thickBot="1" x14ac:dyDescent="0.3">
      <c r="A365" s="225"/>
      <c r="B365" s="81"/>
      <c r="C365" s="11"/>
      <c r="D365" s="11"/>
      <c r="E365" s="19"/>
      <c r="F365" s="159"/>
      <c r="G365" s="303"/>
      <c r="H365" s="268"/>
      <c r="I365" s="487"/>
      <c r="J365" s="487"/>
      <c r="K365" s="487"/>
      <c r="L365" s="491"/>
      <c r="M365" s="487"/>
      <c r="N365" s="487"/>
      <c r="O365" s="487"/>
      <c r="P365" s="487"/>
      <c r="Q365" s="237"/>
      <c r="R365" s="237"/>
      <c r="S365" s="237"/>
      <c r="T365" s="237"/>
      <c r="U365" s="102"/>
      <c r="V365" s="102"/>
      <c r="W365" s="102"/>
      <c r="X365" s="102"/>
      <c r="Y365" s="102"/>
    </row>
    <row r="366" spans="1:25" ht="15" x14ac:dyDescent="0.25">
      <c r="A366" s="232"/>
      <c r="B366" s="116" t="s">
        <v>231</v>
      </c>
      <c r="C366" s="124"/>
      <c r="D366" s="124"/>
      <c r="E366" s="136"/>
      <c r="F366" s="175"/>
      <c r="G366" s="323"/>
      <c r="H366" s="293"/>
      <c r="I366" s="487"/>
      <c r="J366" s="487"/>
      <c r="K366" s="487"/>
      <c r="L366" s="491"/>
      <c r="M366" s="487"/>
      <c r="N366" s="487"/>
      <c r="O366" s="487"/>
      <c r="P366" s="487"/>
      <c r="Q366" s="237"/>
      <c r="R366" s="237"/>
      <c r="S366" s="237"/>
      <c r="T366" s="237"/>
      <c r="U366" s="102"/>
      <c r="V366" s="102"/>
      <c r="W366" s="102"/>
      <c r="X366" s="102"/>
      <c r="Y366" s="102"/>
    </row>
    <row r="367" spans="1:25" ht="15.75" thickBot="1" x14ac:dyDescent="0.3">
      <c r="A367" s="233">
        <v>282</v>
      </c>
      <c r="B367" s="132"/>
      <c r="C367" s="118"/>
      <c r="D367" s="118" t="s">
        <v>197</v>
      </c>
      <c r="E367" s="128"/>
      <c r="F367" s="176"/>
      <c r="G367" s="324">
        <f>+G349+G364</f>
        <v>262014.12</v>
      </c>
      <c r="H367" s="294"/>
      <c r="I367" s="487"/>
      <c r="J367" s="487"/>
      <c r="K367" s="487"/>
      <c r="L367" s="491"/>
      <c r="M367" s="487"/>
      <c r="N367" s="487"/>
      <c r="O367" s="487"/>
      <c r="P367" s="487"/>
      <c r="Q367" s="237"/>
      <c r="R367" s="237"/>
      <c r="S367" s="237"/>
      <c r="T367" s="237"/>
      <c r="U367" s="102"/>
      <c r="V367" s="102"/>
      <c r="W367" s="102"/>
      <c r="X367" s="102"/>
      <c r="Y367" s="102"/>
    </row>
    <row r="368" spans="1:25" s="5" customFormat="1" ht="15" x14ac:dyDescent="0.25">
      <c r="A368" s="230"/>
      <c r="B368" s="133" t="s">
        <v>18</v>
      </c>
      <c r="C368" s="57"/>
      <c r="D368" s="57"/>
      <c r="E368" s="72"/>
      <c r="F368" s="157"/>
      <c r="G368" s="301"/>
      <c r="H368" s="266"/>
      <c r="I368" s="487"/>
      <c r="J368" s="487"/>
      <c r="K368" s="487"/>
      <c r="L368" s="491"/>
      <c r="M368" s="487"/>
      <c r="N368" s="487"/>
      <c r="O368" s="487"/>
      <c r="P368" s="487"/>
      <c r="Q368" s="237"/>
      <c r="R368" s="237"/>
      <c r="S368" s="237"/>
      <c r="T368" s="237"/>
      <c r="U368" s="240"/>
      <c r="V368" s="240"/>
      <c r="W368" s="240"/>
      <c r="X368" s="240"/>
      <c r="Y368" s="240"/>
    </row>
    <row r="369" spans="1:25" x14ac:dyDescent="0.2">
      <c r="A369" s="225">
        <v>283</v>
      </c>
      <c r="B369" s="37"/>
      <c r="C369" s="10" t="s">
        <v>199</v>
      </c>
      <c r="D369" s="10"/>
      <c r="E369" s="19" t="s">
        <v>200</v>
      </c>
      <c r="F369" s="159" t="s">
        <v>201</v>
      </c>
      <c r="G369" s="303"/>
      <c r="H369" s="268"/>
      <c r="I369" s="487"/>
      <c r="J369" s="487"/>
      <c r="K369" s="487"/>
      <c r="L369" s="491"/>
      <c r="M369" s="487"/>
      <c r="N369" s="487"/>
      <c r="O369" s="487"/>
      <c r="P369" s="487"/>
      <c r="Q369" s="237"/>
      <c r="R369" s="237"/>
      <c r="S369" s="237"/>
      <c r="T369" s="237"/>
      <c r="U369" s="102"/>
      <c r="V369" s="102"/>
      <c r="W369" s="102"/>
      <c r="X369" s="102"/>
      <c r="Y369" s="102"/>
    </row>
    <row r="370" spans="1:25" x14ac:dyDescent="0.2">
      <c r="A370" s="225">
        <v>284</v>
      </c>
      <c r="B370" s="37"/>
      <c r="C370" s="10" t="s">
        <v>202</v>
      </c>
      <c r="D370" s="10"/>
      <c r="E370" s="19" t="s">
        <v>203</v>
      </c>
      <c r="F370" s="159" t="s">
        <v>198</v>
      </c>
      <c r="G370" s="303"/>
      <c r="H370" s="268"/>
      <c r="I370" s="487"/>
      <c r="J370" s="487"/>
      <c r="K370" s="487"/>
      <c r="L370" s="491"/>
      <c r="M370" s="487"/>
      <c r="N370" s="487"/>
      <c r="O370" s="487"/>
      <c r="P370" s="487"/>
      <c r="Q370" s="237"/>
      <c r="R370" s="237"/>
      <c r="S370" s="237"/>
      <c r="T370" s="237"/>
      <c r="U370" s="102"/>
      <c r="V370" s="102"/>
      <c r="W370" s="102"/>
      <c r="X370" s="102"/>
      <c r="Y370" s="102"/>
    </row>
    <row r="371" spans="1:25" x14ac:dyDescent="0.2">
      <c r="A371" s="225">
        <v>285</v>
      </c>
      <c r="B371" s="37"/>
      <c r="C371" s="10" t="s">
        <v>204</v>
      </c>
      <c r="D371" s="10"/>
      <c r="E371" s="19" t="s">
        <v>203</v>
      </c>
      <c r="F371" s="159" t="s">
        <v>205</v>
      </c>
      <c r="G371" s="303"/>
      <c r="H371" s="268"/>
      <c r="I371" s="487"/>
      <c r="J371" s="487"/>
      <c r="K371" s="487"/>
      <c r="L371" s="491"/>
      <c r="M371" s="487"/>
      <c r="N371" s="487"/>
      <c r="O371" s="487"/>
      <c r="P371" s="487"/>
      <c r="Q371" s="237"/>
      <c r="R371" s="237"/>
      <c r="S371" s="237"/>
      <c r="T371" s="237"/>
      <c r="U371" s="102"/>
      <c r="V371" s="102"/>
      <c r="W371" s="102"/>
      <c r="X371" s="102"/>
      <c r="Y371" s="102"/>
    </row>
    <row r="372" spans="1:25" x14ac:dyDescent="0.2">
      <c r="A372" s="225">
        <v>286</v>
      </c>
      <c r="B372" s="37"/>
      <c r="C372" s="10" t="s">
        <v>93</v>
      </c>
      <c r="D372" s="10"/>
      <c r="E372" s="19" t="s">
        <v>94</v>
      </c>
      <c r="F372" s="159" t="s">
        <v>198</v>
      </c>
      <c r="G372" s="303"/>
      <c r="H372" s="268"/>
      <c r="I372" s="487"/>
      <c r="J372" s="487"/>
      <c r="K372" s="487"/>
      <c r="L372" s="491"/>
      <c r="M372" s="487"/>
      <c r="N372" s="487"/>
      <c r="O372" s="487"/>
      <c r="P372" s="487"/>
      <c r="Q372" s="237"/>
      <c r="R372" s="237"/>
      <c r="S372" s="237"/>
      <c r="T372" s="237"/>
      <c r="U372" s="102"/>
      <c r="V372" s="102"/>
      <c r="W372" s="102"/>
      <c r="X372" s="102"/>
      <c r="Y372" s="102"/>
    </row>
    <row r="373" spans="1:25" x14ac:dyDescent="0.2">
      <c r="A373" s="225">
        <v>287</v>
      </c>
      <c r="B373" s="37"/>
      <c r="C373" s="10" t="s">
        <v>85</v>
      </c>
      <c r="D373" s="10"/>
      <c r="E373" s="19" t="s">
        <v>86</v>
      </c>
      <c r="F373" s="159" t="s">
        <v>206</v>
      </c>
      <c r="G373" s="303"/>
      <c r="H373" s="268"/>
      <c r="I373" s="487"/>
      <c r="J373" s="487"/>
      <c r="K373" s="487"/>
      <c r="L373" s="491"/>
      <c r="M373" s="487"/>
      <c r="N373" s="487"/>
      <c r="O373" s="487"/>
      <c r="P373" s="487"/>
      <c r="Q373" s="237"/>
      <c r="R373" s="237"/>
      <c r="S373" s="237"/>
      <c r="T373" s="237"/>
      <c r="U373" s="102"/>
      <c r="V373" s="102"/>
      <c r="W373" s="102"/>
      <c r="X373" s="102"/>
      <c r="Y373" s="102"/>
    </row>
    <row r="374" spans="1:25" x14ac:dyDescent="0.2">
      <c r="A374" s="225">
        <v>288</v>
      </c>
      <c r="B374" s="37"/>
      <c r="C374" s="86" t="s">
        <v>283</v>
      </c>
      <c r="D374" s="10"/>
      <c r="E374" s="19"/>
      <c r="F374" s="159"/>
      <c r="G374" s="303"/>
      <c r="H374" s="268"/>
      <c r="I374" s="487"/>
      <c r="J374" s="487"/>
      <c r="K374" s="487"/>
      <c r="L374" s="491"/>
      <c r="M374" s="487"/>
      <c r="N374" s="487"/>
      <c r="O374" s="487"/>
      <c r="P374" s="487"/>
      <c r="Q374" s="237"/>
      <c r="R374" s="237"/>
      <c r="S374" s="237"/>
      <c r="T374" s="237"/>
      <c r="U374" s="102"/>
      <c r="V374" s="102"/>
      <c r="W374" s="102"/>
      <c r="X374" s="102"/>
      <c r="Y374" s="102"/>
    </row>
    <row r="375" spans="1:25" x14ac:dyDescent="0.2">
      <c r="A375" s="225">
        <v>289</v>
      </c>
      <c r="B375" s="37"/>
      <c r="C375" s="86"/>
      <c r="D375" s="10"/>
      <c r="E375" s="19"/>
      <c r="F375" s="159"/>
      <c r="G375" s="303"/>
      <c r="H375" s="268"/>
      <c r="I375" s="487"/>
      <c r="J375" s="487"/>
      <c r="K375" s="487"/>
      <c r="L375" s="491"/>
      <c r="M375" s="487"/>
      <c r="N375" s="487"/>
      <c r="O375" s="487"/>
      <c r="P375" s="487"/>
      <c r="Q375" s="237"/>
      <c r="R375" s="237"/>
      <c r="S375" s="237"/>
      <c r="T375" s="237"/>
      <c r="U375" s="102"/>
      <c r="V375" s="102"/>
      <c r="W375" s="102"/>
      <c r="X375" s="102"/>
      <c r="Y375" s="102"/>
    </row>
    <row r="376" spans="1:25" ht="15" thickBot="1" x14ac:dyDescent="0.25">
      <c r="A376" s="225">
        <v>290</v>
      </c>
      <c r="B376" s="84"/>
      <c r="D376" s="14"/>
      <c r="E376" s="15"/>
      <c r="F376" s="167"/>
      <c r="G376" s="315"/>
      <c r="H376" s="283"/>
      <c r="I376" s="487"/>
      <c r="J376" s="487"/>
      <c r="K376" s="487"/>
      <c r="L376" s="491"/>
      <c r="M376" s="487"/>
      <c r="N376" s="487"/>
      <c r="O376" s="487"/>
      <c r="P376" s="487"/>
      <c r="Q376" s="237"/>
      <c r="R376" s="237"/>
      <c r="S376" s="237"/>
      <c r="T376" s="237"/>
      <c r="U376" s="102"/>
      <c r="V376" s="102"/>
      <c r="W376" s="102"/>
      <c r="X376" s="102"/>
      <c r="Y376" s="102"/>
    </row>
    <row r="377" spans="1:25" ht="15" x14ac:dyDescent="0.25">
      <c r="A377" s="232"/>
      <c r="B377" s="116" t="s">
        <v>207</v>
      </c>
      <c r="C377" s="124"/>
      <c r="D377" s="124"/>
      <c r="E377" s="136"/>
      <c r="F377" s="175"/>
      <c r="G377" s="323"/>
      <c r="H377" s="293"/>
      <c r="I377" s="487"/>
      <c r="J377" s="487"/>
      <c r="K377" s="487"/>
      <c r="L377" s="491"/>
      <c r="M377" s="487"/>
      <c r="N377" s="487"/>
      <c r="O377" s="487"/>
      <c r="P377" s="487"/>
      <c r="Q377" s="237"/>
      <c r="R377" s="237"/>
      <c r="S377" s="237"/>
      <c r="T377" s="237"/>
      <c r="U377" s="102"/>
      <c r="V377" s="102"/>
      <c r="W377" s="102"/>
      <c r="X377" s="102"/>
      <c r="Y377" s="102"/>
    </row>
    <row r="378" spans="1:25" ht="15.75" thickBot="1" x14ac:dyDescent="0.3">
      <c r="A378" s="233">
        <v>291</v>
      </c>
      <c r="B378" s="125"/>
      <c r="C378" s="126"/>
      <c r="D378" s="118" t="s">
        <v>2</v>
      </c>
      <c r="E378" s="128"/>
      <c r="F378" s="176"/>
      <c r="G378" s="324">
        <f>SUM(G369:G376)</f>
        <v>0</v>
      </c>
      <c r="H378" s="294"/>
      <c r="I378" s="487"/>
      <c r="J378" s="487"/>
      <c r="K378" s="487"/>
      <c r="L378" s="491"/>
      <c r="M378" s="487"/>
      <c r="N378" s="487"/>
      <c r="O378" s="487"/>
      <c r="P378" s="487"/>
      <c r="Q378" s="237"/>
      <c r="R378" s="237"/>
      <c r="S378" s="237"/>
      <c r="T378" s="237"/>
      <c r="U378" s="102"/>
      <c r="V378" s="102"/>
      <c r="W378" s="102"/>
      <c r="X378" s="102"/>
      <c r="Y378" s="102"/>
    </row>
    <row r="379" spans="1:25" x14ac:dyDescent="0.2">
      <c r="A379" s="230"/>
      <c r="B379" s="36"/>
      <c r="C379" s="13"/>
      <c r="D379" s="13"/>
      <c r="E379" s="17"/>
      <c r="F379" s="171"/>
      <c r="G379" s="319"/>
      <c r="H379" s="288"/>
      <c r="I379" s="487"/>
      <c r="J379" s="487"/>
      <c r="K379" s="487"/>
      <c r="L379" s="491"/>
      <c r="M379" s="487"/>
      <c r="N379" s="487"/>
      <c r="O379" s="487"/>
      <c r="P379" s="487"/>
      <c r="Q379" s="237"/>
      <c r="R379" s="237"/>
      <c r="S379" s="237"/>
      <c r="T379" s="237"/>
      <c r="U379" s="102"/>
      <c r="V379" s="102"/>
      <c r="W379" s="102"/>
      <c r="X379" s="102"/>
      <c r="Y379" s="102"/>
    </row>
    <row r="380" spans="1:25" s="5" customFormat="1" ht="15" x14ac:dyDescent="0.25">
      <c r="A380" s="225"/>
      <c r="B380" s="53" t="s">
        <v>286</v>
      </c>
      <c r="C380" s="54"/>
      <c r="D380" s="54"/>
      <c r="E380" s="62"/>
      <c r="F380" s="158"/>
      <c r="G380" s="302"/>
      <c r="H380" s="267"/>
      <c r="I380" s="487"/>
      <c r="J380" s="487"/>
      <c r="K380" s="487"/>
      <c r="L380" s="491"/>
      <c r="M380" s="487"/>
      <c r="N380" s="487"/>
      <c r="O380" s="487"/>
      <c r="P380" s="487"/>
      <c r="Q380" s="237"/>
      <c r="R380" s="237"/>
      <c r="S380" s="237"/>
      <c r="T380" s="237"/>
      <c r="U380" s="240"/>
      <c r="V380" s="240"/>
      <c r="W380" s="240"/>
      <c r="X380" s="240"/>
      <c r="Y380" s="240"/>
    </row>
    <row r="381" spans="1:25" x14ac:dyDescent="0.2">
      <c r="A381" s="225"/>
      <c r="B381" s="37"/>
      <c r="C381" s="10" t="s">
        <v>31</v>
      </c>
      <c r="D381" s="10"/>
      <c r="E381" s="62"/>
      <c r="F381" s="158"/>
      <c r="G381" s="302"/>
      <c r="H381" s="267"/>
      <c r="I381" s="487"/>
      <c r="J381" s="487"/>
      <c r="K381" s="487"/>
      <c r="L381" s="491"/>
      <c r="M381" s="487"/>
      <c r="N381" s="487"/>
      <c r="O381" s="487"/>
      <c r="P381" s="487"/>
      <c r="Q381" s="237"/>
      <c r="R381" s="237"/>
      <c r="S381" s="237"/>
      <c r="T381" s="237"/>
      <c r="U381" s="102"/>
      <c r="V381" s="102"/>
      <c r="W381" s="102"/>
      <c r="X381" s="102"/>
      <c r="Y381" s="102"/>
    </row>
    <row r="382" spans="1:25" x14ac:dyDescent="0.2">
      <c r="A382" s="225">
        <v>292</v>
      </c>
      <c r="B382" s="37"/>
      <c r="C382" s="10"/>
      <c r="D382" s="10" t="s">
        <v>209</v>
      </c>
      <c r="E382" s="19" t="s">
        <v>149</v>
      </c>
      <c r="F382" s="159" t="s">
        <v>208</v>
      </c>
      <c r="G382" s="303"/>
      <c r="H382" s="268"/>
      <c r="I382" s="487"/>
      <c r="J382" s="487"/>
      <c r="K382" s="487"/>
      <c r="L382" s="491"/>
      <c r="M382" s="487"/>
      <c r="N382" s="487"/>
      <c r="O382" s="487"/>
      <c r="P382" s="487"/>
      <c r="Q382" s="237"/>
      <c r="R382" s="237"/>
      <c r="S382" s="237"/>
      <c r="T382" s="237"/>
      <c r="U382" s="102"/>
      <c r="V382" s="102"/>
      <c r="W382" s="102"/>
      <c r="X382" s="102"/>
      <c r="Y382" s="102"/>
    </row>
    <row r="383" spans="1:25" x14ac:dyDescent="0.2">
      <c r="A383" s="225">
        <v>293</v>
      </c>
      <c r="B383" s="37"/>
      <c r="C383" s="10"/>
      <c r="D383" s="10" t="s">
        <v>210</v>
      </c>
      <c r="E383" s="19" t="s">
        <v>152</v>
      </c>
      <c r="F383" s="159" t="s">
        <v>208</v>
      </c>
      <c r="G383" s="303"/>
      <c r="H383" s="268"/>
      <c r="I383" s="487"/>
      <c r="J383" s="487"/>
      <c r="K383" s="487"/>
      <c r="L383" s="491"/>
      <c r="M383" s="487"/>
      <c r="N383" s="487"/>
      <c r="O383" s="487"/>
      <c r="P383" s="487"/>
      <c r="Q383" s="237"/>
      <c r="R383" s="237"/>
      <c r="S383" s="237"/>
      <c r="T383" s="237"/>
      <c r="U383" s="102"/>
      <c r="V383" s="102"/>
      <c r="W383" s="102"/>
      <c r="X383" s="102"/>
      <c r="Y383" s="102"/>
    </row>
    <row r="384" spans="1:25" x14ac:dyDescent="0.2">
      <c r="A384" s="225">
        <v>294</v>
      </c>
      <c r="B384" s="37"/>
      <c r="C384" s="10"/>
      <c r="D384" s="10" t="s">
        <v>211</v>
      </c>
      <c r="E384" s="19" t="s">
        <v>212</v>
      </c>
      <c r="F384" s="159" t="s">
        <v>208</v>
      </c>
      <c r="G384" s="303"/>
      <c r="H384" s="268"/>
      <c r="I384" s="487"/>
      <c r="J384" s="487"/>
      <c r="K384" s="487"/>
      <c r="L384" s="491"/>
      <c r="M384" s="487"/>
      <c r="N384" s="487"/>
      <c r="O384" s="487"/>
      <c r="P384" s="487"/>
      <c r="Q384" s="237"/>
      <c r="R384" s="237"/>
      <c r="S384" s="237"/>
      <c r="T384" s="237"/>
      <c r="U384" s="102"/>
      <c r="V384" s="102"/>
      <c r="W384" s="102"/>
      <c r="X384" s="102"/>
      <c r="Y384" s="102"/>
    </row>
    <row r="385" spans="1:25" x14ac:dyDescent="0.2">
      <c r="A385" s="225">
        <v>295</v>
      </c>
      <c r="B385" s="37"/>
      <c r="C385" s="10"/>
      <c r="D385" s="10" t="s">
        <v>95</v>
      </c>
      <c r="E385" s="19" t="s">
        <v>96</v>
      </c>
      <c r="F385" s="159" t="s">
        <v>208</v>
      </c>
      <c r="G385" s="321"/>
      <c r="H385" s="290"/>
      <c r="I385" s="487"/>
      <c r="J385" s="487"/>
      <c r="K385" s="487"/>
      <c r="L385" s="491"/>
      <c r="M385" s="487"/>
      <c r="N385" s="487"/>
      <c r="O385" s="487"/>
      <c r="P385" s="487"/>
      <c r="Q385" s="237"/>
      <c r="R385" s="237"/>
      <c r="S385" s="237"/>
      <c r="T385" s="237"/>
      <c r="U385" s="102"/>
      <c r="V385" s="102"/>
      <c r="W385" s="102"/>
      <c r="X385" s="102"/>
      <c r="Y385" s="102"/>
    </row>
    <row r="386" spans="1:25" x14ac:dyDescent="0.2">
      <c r="A386" s="225">
        <v>296</v>
      </c>
      <c r="B386" s="37"/>
      <c r="C386" s="86" t="s">
        <v>283</v>
      </c>
      <c r="D386" s="10"/>
      <c r="E386" s="19"/>
      <c r="F386" s="159"/>
      <c r="G386" s="303"/>
      <c r="H386" s="268"/>
      <c r="I386" s="487"/>
      <c r="J386" s="487"/>
      <c r="K386" s="487"/>
      <c r="L386" s="491"/>
      <c r="M386" s="487"/>
      <c r="N386" s="487"/>
      <c r="O386" s="487"/>
      <c r="P386" s="487"/>
      <c r="Q386" s="237"/>
      <c r="R386" s="237"/>
      <c r="S386" s="237"/>
      <c r="T386" s="237"/>
      <c r="U386" s="102"/>
      <c r="V386" s="102"/>
      <c r="W386" s="102"/>
      <c r="X386" s="102"/>
      <c r="Y386" s="102"/>
    </row>
    <row r="387" spans="1:25" x14ac:dyDescent="0.2">
      <c r="A387" s="225">
        <v>297</v>
      </c>
      <c r="B387" s="37"/>
      <c r="C387" s="86"/>
      <c r="D387" s="10"/>
      <c r="E387" s="19"/>
      <c r="F387" s="159"/>
      <c r="G387" s="303"/>
      <c r="H387" s="268"/>
      <c r="I387" s="487"/>
      <c r="J387" s="487"/>
      <c r="K387" s="487"/>
      <c r="L387" s="491"/>
      <c r="M387" s="487"/>
      <c r="N387" s="487"/>
      <c r="O387" s="487"/>
      <c r="P387" s="487"/>
      <c r="Q387" s="237"/>
      <c r="R387" s="237"/>
      <c r="S387" s="237"/>
      <c r="T387" s="237"/>
      <c r="U387" s="102"/>
      <c r="V387" s="102"/>
      <c r="W387" s="102"/>
      <c r="X387" s="102"/>
      <c r="Y387" s="102"/>
    </row>
    <row r="388" spans="1:25" ht="15" thickBot="1" x14ac:dyDescent="0.25">
      <c r="A388" s="225">
        <v>298</v>
      </c>
      <c r="B388" s="84"/>
      <c r="D388" s="14"/>
      <c r="E388" s="15"/>
      <c r="F388" s="167"/>
      <c r="G388" s="315"/>
      <c r="H388" s="283"/>
      <c r="I388" s="487"/>
      <c r="J388" s="487"/>
      <c r="K388" s="487"/>
      <c r="L388" s="491"/>
      <c r="M388" s="487"/>
      <c r="N388" s="487"/>
      <c r="O388" s="487"/>
      <c r="P388" s="487"/>
      <c r="Q388" s="237"/>
      <c r="R388" s="237"/>
      <c r="S388" s="237"/>
      <c r="T388" s="237"/>
      <c r="U388" s="102"/>
      <c r="V388" s="102"/>
      <c r="W388" s="102"/>
      <c r="X388" s="102"/>
      <c r="Y388" s="102"/>
    </row>
    <row r="389" spans="1:25" ht="15.75" thickBot="1" x14ac:dyDescent="0.3">
      <c r="A389" s="229">
        <v>299</v>
      </c>
      <c r="B389" s="76" t="s">
        <v>287</v>
      </c>
      <c r="C389" s="77"/>
      <c r="D389" s="77"/>
      <c r="E389" s="46"/>
      <c r="F389" s="166"/>
      <c r="G389" s="312">
        <f>SUM(G381:G388)</f>
        <v>0</v>
      </c>
      <c r="H389" s="287"/>
      <c r="I389" s="487"/>
      <c r="J389" s="487"/>
      <c r="K389" s="487"/>
      <c r="L389" s="491"/>
      <c r="M389" s="487"/>
      <c r="N389" s="487"/>
      <c r="O389" s="487"/>
      <c r="P389" s="487"/>
      <c r="Q389" s="237"/>
      <c r="R389" s="237"/>
      <c r="S389" s="237"/>
      <c r="T389" s="237"/>
      <c r="U389" s="102"/>
      <c r="V389" s="102"/>
      <c r="W389" s="102"/>
      <c r="X389" s="102"/>
      <c r="Y389" s="102"/>
    </row>
    <row r="390" spans="1:25" ht="15" thickBot="1" x14ac:dyDescent="0.25">
      <c r="A390" s="225"/>
      <c r="B390" s="37"/>
      <c r="C390" s="10"/>
      <c r="D390" s="10"/>
      <c r="E390" s="19"/>
      <c r="F390" s="159"/>
      <c r="G390" s="303"/>
      <c r="H390" s="268"/>
      <c r="I390" s="487"/>
      <c r="J390" s="487"/>
      <c r="K390" s="487"/>
      <c r="L390" s="491"/>
      <c r="M390" s="487"/>
      <c r="N390" s="487"/>
      <c r="O390" s="487"/>
      <c r="P390" s="487"/>
      <c r="Q390" s="237"/>
      <c r="R390" s="237"/>
      <c r="S390" s="237"/>
      <c r="T390" s="237"/>
      <c r="U390" s="102"/>
      <c r="V390" s="102"/>
      <c r="W390" s="102"/>
      <c r="X390" s="102"/>
      <c r="Y390" s="102"/>
    </row>
    <row r="391" spans="1:25" ht="15.75" thickBot="1" x14ac:dyDescent="0.3">
      <c r="A391" s="229">
        <v>300</v>
      </c>
      <c r="B391" s="76" t="s">
        <v>213</v>
      </c>
      <c r="C391" s="77"/>
      <c r="D391" s="77"/>
      <c r="E391" s="46"/>
      <c r="F391" s="166"/>
      <c r="G391" s="312">
        <f>+G154+G326+G367+G378+G389</f>
        <v>6373663.161411331</v>
      </c>
      <c r="H391" s="287"/>
      <c r="I391" s="487"/>
      <c r="J391" s="487"/>
      <c r="K391" s="487"/>
      <c r="L391" s="491"/>
      <c r="M391" s="487"/>
      <c r="N391" s="487"/>
      <c r="O391" s="487"/>
      <c r="P391" s="487"/>
      <c r="Q391" s="237"/>
      <c r="R391" s="237"/>
      <c r="S391" s="237"/>
      <c r="T391" s="237"/>
      <c r="U391" s="102"/>
      <c r="V391" s="102"/>
      <c r="W391" s="102"/>
      <c r="X391" s="102"/>
      <c r="Y391" s="102"/>
    </row>
    <row r="392" spans="1:25" x14ac:dyDescent="0.2">
      <c r="A392" s="225"/>
      <c r="B392" s="37"/>
      <c r="C392" s="10"/>
      <c r="D392" s="10"/>
      <c r="E392" s="19"/>
      <c r="F392" s="159"/>
      <c r="G392" s="303"/>
      <c r="H392" s="268"/>
      <c r="I392" s="487"/>
      <c r="J392" s="487"/>
      <c r="K392" s="487"/>
      <c r="L392" s="491"/>
      <c r="M392" s="487"/>
      <c r="N392" s="487"/>
      <c r="O392" s="487"/>
      <c r="P392" s="487"/>
      <c r="Q392" s="237"/>
      <c r="R392" s="237"/>
      <c r="S392" s="237"/>
      <c r="T392" s="237"/>
      <c r="U392" s="102"/>
      <c r="V392" s="102"/>
      <c r="W392" s="102"/>
      <c r="X392" s="102"/>
      <c r="Y392" s="102"/>
    </row>
    <row r="393" spans="1:25" s="5" customFormat="1" ht="15" x14ac:dyDescent="0.25">
      <c r="A393" s="225"/>
      <c r="B393" s="87" t="s">
        <v>291</v>
      </c>
      <c r="C393" s="12"/>
      <c r="D393" s="12"/>
      <c r="E393" s="78"/>
      <c r="F393" s="170"/>
      <c r="G393" s="318"/>
      <c r="H393" s="286"/>
      <c r="I393" s="489"/>
      <c r="J393" s="489"/>
      <c r="K393" s="489"/>
      <c r="L393" s="491"/>
      <c r="M393" s="489"/>
      <c r="N393" s="489"/>
      <c r="O393" s="489"/>
      <c r="P393" s="489"/>
      <c r="Q393" s="244"/>
      <c r="R393" s="244"/>
      <c r="S393" s="244"/>
      <c r="T393" s="244"/>
      <c r="U393" s="240"/>
      <c r="V393" s="240"/>
      <c r="W393" s="240"/>
      <c r="X393" s="240"/>
      <c r="Y393" s="240"/>
    </row>
    <row r="394" spans="1:25" x14ac:dyDescent="0.2">
      <c r="A394" s="225">
        <v>301</v>
      </c>
      <c r="B394" s="37" t="s">
        <v>4</v>
      </c>
      <c r="C394" s="10"/>
      <c r="D394" s="10"/>
      <c r="E394" s="19" t="s">
        <v>221</v>
      </c>
      <c r="F394" s="159" t="s">
        <v>253</v>
      </c>
      <c r="G394" s="303"/>
      <c r="H394" s="268"/>
      <c r="I394" s="487"/>
      <c r="J394" s="487"/>
      <c r="K394" s="487"/>
      <c r="L394" s="491"/>
      <c r="M394" s="487"/>
      <c r="N394" s="487"/>
      <c r="O394" s="487"/>
      <c r="P394" s="487"/>
      <c r="Q394" s="237"/>
      <c r="R394" s="237"/>
      <c r="S394" s="237"/>
      <c r="T394" s="237"/>
      <c r="U394" s="102"/>
      <c r="V394" s="102"/>
      <c r="W394" s="102"/>
      <c r="X394" s="102"/>
      <c r="Y394" s="102"/>
    </row>
    <row r="395" spans="1:25" ht="15" thickBot="1" x14ac:dyDescent="0.25">
      <c r="A395" s="225">
        <v>302</v>
      </c>
      <c r="B395" s="37"/>
      <c r="C395" s="10"/>
      <c r="D395" s="10"/>
      <c r="E395" s="19"/>
      <c r="F395" s="159"/>
      <c r="G395" s="303"/>
      <c r="H395" s="268"/>
      <c r="I395" s="487"/>
      <c r="J395" s="487"/>
      <c r="K395" s="487"/>
      <c r="L395" s="491"/>
      <c r="M395" s="487"/>
      <c r="N395" s="487"/>
      <c r="O395" s="487"/>
      <c r="P395" s="487"/>
      <c r="Q395" s="237"/>
      <c r="R395" s="237"/>
      <c r="S395" s="237"/>
      <c r="T395" s="237"/>
      <c r="U395" s="102"/>
      <c r="V395" s="102"/>
      <c r="W395" s="102"/>
      <c r="X395" s="102"/>
      <c r="Y395" s="102"/>
    </row>
    <row r="396" spans="1:25" ht="15.75" thickBot="1" x14ac:dyDescent="0.3">
      <c r="A396" s="229">
        <v>303</v>
      </c>
      <c r="B396" s="76" t="s">
        <v>214</v>
      </c>
      <c r="C396" s="77"/>
      <c r="D396" s="77"/>
      <c r="E396" s="46"/>
      <c r="F396" s="166"/>
      <c r="G396" s="312">
        <f>SUM(G392:G395)</f>
        <v>0</v>
      </c>
      <c r="H396" s="287"/>
      <c r="I396" s="487"/>
      <c r="J396" s="487"/>
      <c r="K396" s="487"/>
      <c r="L396" s="491"/>
      <c r="M396" s="487"/>
      <c r="N396" s="487"/>
      <c r="O396" s="487"/>
      <c r="P396" s="487"/>
      <c r="Q396" s="237"/>
      <c r="R396" s="237"/>
      <c r="S396" s="237"/>
      <c r="T396" s="237"/>
      <c r="U396" s="102"/>
      <c r="V396" s="102"/>
      <c r="W396" s="102"/>
      <c r="X396" s="102"/>
      <c r="Y396" s="102"/>
    </row>
    <row r="397" spans="1:25" ht="15" thickBot="1" x14ac:dyDescent="0.25">
      <c r="A397" s="225"/>
      <c r="B397" s="37"/>
      <c r="C397" s="10"/>
      <c r="D397" s="10"/>
      <c r="E397" s="19"/>
      <c r="F397" s="159"/>
      <c r="G397" s="303"/>
      <c r="H397" s="268"/>
      <c r="I397" s="487"/>
      <c r="J397" s="487"/>
      <c r="K397" s="487"/>
      <c r="L397" s="491"/>
      <c r="M397" s="487"/>
      <c r="N397" s="487"/>
      <c r="O397" s="487"/>
      <c r="P397" s="487"/>
      <c r="Q397" s="237"/>
      <c r="R397" s="237"/>
      <c r="S397" s="237"/>
      <c r="T397" s="237"/>
      <c r="U397" s="102"/>
      <c r="V397" s="102"/>
      <c r="W397" s="102"/>
      <c r="X397" s="102"/>
      <c r="Y397" s="102"/>
    </row>
    <row r="398" spans="1:25" s="5" customFormat="1" ht="15.75" thickBot="1" x14ac:dyDescent="0.3">
      <c r="A398" s="235" t="s">
        <v>215</v>
      </c>
      <c r="B398" s="76"/>
      <c r="C398" s="77"/>
      <c r="D398" s="77"/>
      <c r="E398" s="120"/>
      <c r="F398" s="177"/>
      <c r="G398" s="325"/>
      <c r="H398" s="295"/>
      <c r="I398" s="489"/>
      <c r="J398" s="489"/>
      <c r="K398" s="489"/>
      <c r="L398" s="491"/>
      <c r="M398" s="489"/>
      <c r="N398" s="489"/>
      <c r="O398" s="489"/>
      <c r="P398" s="489"/>
      <c r="Q398" s="244"/>
      <c r="R398" s="244"/>
      <c r="S398" s="244"/>
      <c r="T398" s="244"/>
      <c r="U398" s="240"/>
      <c r="V398" s="240"/>
      <c r="W398" s="240"/>
      <c r="X398" s="240"/>
      <c r="Y398" s="240"/>
    </row>
    <row r="399" spans="1:25" ht="15" x14ac:dyDescent="0.25">
      <c r="A399" s="232"/>
      <c r="B399" s="131"/>
      <c r="C399" s="130" t="s">
        <v>254</v>
      </c>
      <c r="D399" s="119"/>
      <c r="E399" s="136"/>
      <c r="F399" s="175"/>
      <c r="G399" s="323"/>
      <c r="H399" s="293"/>
      <c r="I399" s="487"/>
      <c r="J399" s="487"/>
      <c r="K399" s="487"/>
      <c r="L399" s="491"/>
      <c r="M399" s="487"/>
      <c r="N399" s="487"/>
      <c r="O399" s="487"/>
      <c r="P399" s="487"/>
      <c r="Q399" s="237"/>
      <c r="R399" s="237"/>
      <c r="S399" s="237"/>
      <c r="T399" s="237"/>
      <c r="U399" s="102"/>
      <c r="V399" s="102"/>
      <c r="W399" s="102"/>
      <c r="X399" s="102"/>
      <c r="Y399" s="102"/>
    </row>
    <row r="400" spans="1:25" ht="15.75" thickBot="1" x14ac:dyDescent="0.3">
      <c r="A400" s="257">
        <v>304</v>
      </c>
      <c r="B400" s="258"/>
      <c r="C400" s="259" t="s">
        <v>3</v>
      </c>
      <c r="D400" s="260"/>
      <c r="E400" s="261"/>
      <c r="F400" s="262"/>
      <c r="G400" s="326">
        <f>+G70-G391-G396</f>
        <v>385523.62890116964</v>
      </c>
      <c r="H400" s="296"/>
      <c r="I400" s="487"/>
      <c r="J400" s="487"/>
      <c r="K400" s="487"/>
      <c r="L400" s="491"/>
      <c r="M400" s="487"/>
      <c r="N400" s="487"/>
      <c r="O400" s="487"/>
      <c r="P400" s="487"/>
      <c r="Q400" s="237"/>
      <c r="R400" s="237"/>
      <c r="S400" s="237"/>
      <c r="T400" s="237"/>
      <c r="U400" s="102"/>
      <c r="V400" s="102"/>
      <c r="W400" s="102"/>
      <c r="X400" s="102"/>
      <c r="Y400" s="102"/>
    </row>
    <row r="401" spans="1:25" ht="15" thickTop="1" x14ac:dyDescent="0.2">
      <c r="A401" s="221"/>
      <c r="G401" s="327"/>
      <c r="H401" s="281"/>
      <c r="I401" s="102"/>
      <c r="J401" s="102"/>
      <c r="K401" s="102"/>
      <c r="L401" s="102"/>
      <c r="M401" s="102"/>
      <c r="N401" s="102"/>
      <c r="O401" s="102"/>
      <c r="P401" s="102"/>
      <c r="Q401" s="102"/>
      <c r="R401" s="102"/>
      <c r="S401" s="102"/>
      <c r="T401" s="102"/>
      <c r="U401" s="102"/>
      <c r="V401" s="102"/>
      <c r="W401" s="102"/>
      <c r="X401" s="102"/>
      <c r="Y401" s="102"/>
    </row>
    <row r="402" spans="1:25" x14ac:dyDescent="0.2">
      <c r="A402" s="221"/>
      <c r="G402" s="327"/>
      <c r="H402" s="281"/>
      <c r="I402" s="494"/>
      <c r="J402" s="102"/>
      <c r="K402" s="102"/>
      <c r="L402" s="102"/>
      <c r="M402" s="102"/>
      <c r="N402" s="102"/>
      <c r="O402" s="102"/>
      <c r="P402" s="102"/>
      <c r="Q402" s="102"/>
      <c r="R402" s="102"/>
      <c r="S402" s="102"/>
      <c r="T402" s="102"/>
      <c r="U402" s="102"/>
      <c r="V402" s="102"/>
      <c r="W402" s="102"/>
      <c r="X402" s="102"/>
      <c r="Y402" s="102"/>
    </row>
    <row r="403" spans="1:25" x14ac:dyDescent="0.2">
      <c r="A403" s="221"/>
      <c r="G403" s="352"/>
      <c r="H403" s="281"/>
      <c r="I403" s="102"/>
      <c r="J403" s="102"/>
      <c r="K403" s="102"/>
      <c r="L403" s="102"/>
      <c r="M403" s="102"/>
      <c r="N403" s="102"/>
      <c r="O403" s="102"/>
      <c r="P403" s="102"/>
      <c r="Q403" s="102"/>
      <c r="R403" s="102"/>
      <c r="S403" s="102"/>
      <c r="T403" s="102"/>
      <c r="U403" s="102"/>
      <c r="V403" s="102"/>
      <c r="W403" s="102"/>
      <c r="X403" s="102"/>
      <c r="Y403" s="102"/>
    </row>
    <row r="404" spans="1:25" x14ac:dyDescent="0.2">
      <c r="A404" s="221"/>
      <c r="G404" s="327"/>
      <c r="H404" s="281"/>
      <c r="I404" s="102"/>
      <c r="J404" s="102"/>
      <c r="K404" s="102"/>
      <c r="L404" s="102"/>
      <c r="M404" s="102"/>
      <c r="N404" s="102"/>
      <c r="O404" s="102"/>
      <c r="P404" s="102"/>
      <c r="Q404" s="102"/>
      <c r="R404" s="102"/>
      <c r="S404" s="102"/>
      <c r="T404" s="102"/>
      <c r="U404" s="102"/>
      <c r="V404" s="102"/>
      <c r="W404" s="102"/>
      <c r="X404" s="102"/>
      <c r="Y404" s="102"/>
    </row>
    <row r="405" spans="1:25" x14ac:dyDescent="0.2">
      <c r="A405" s="221"/>
      <c r="G405" s="353"/>
      <c r="H405" s="281"/>
      <c r="I405" s="102"/>
      <c r="J405" s="102"/>
      <c r="K405" s="102"/>
      <c r="L405" s="102"/>
      <c r="M405" s="102"/>
      <c r="N405" s="102"/>
      <c r="O405" s="102"/>
      <c r="P405" s="102"/>
      <c r="Q405" s="102"/>
      <c r="R405" s="102"/>
      <c r="S405" s="102"/>
      <c r="T405" s="102"/>
      <c r="U405" s="102"/>
      <c r="V405" s="102"/>
      <c r="W405" s="102"/>
      <c r="X405" s="102"/>
      <c r="Y405" s="102"/>
    </row>
    <row r="406" spans="1:25" x14ac:dyDescent="0.2">
      <c r="A406" s="221"/>
      <c r="G406" s="327"/>
      <c r="H406" s="281"/>
      <c r="I406" s="102"/>
      <c r="J406" s="102"/>
      <c r="K406" s="102"/>
      <c r="L406" s="102"/>
      <c r="M406" s="102"/>
      <c r="N406" s="102"/>
      <c r="O406" s="102"/>
      <c r="P406" s="102"/>
      <c r="Q406" s="102"/>
      <c r="R406" s="102"/>
      <c r="S406" s="102"/>
      <c r="T406" s="102"/>
      <c r="U406" s="102"/>
      <c r="V406" s="102"/>
      <c r="W406" s="102"/>
      <c r="X406" s="102"/>
      <c r="Y406" s="102"/>
    </row>
    <row r="407" spans="1:25" x14ac:dyDescent="0.2">
      <c r="A407" s="221"/>
      <c r="G407" s="327"/>
      <c r="H407" s="281"/>
      <c r="I407" s="102"/>
      <c r="J407" s="102"/>
      <c r="K407" s="102"/>
      <c r="L407" s="102"/>
      <c r="M407" s="102"/>
      <c r="N407" s="102"/>
      <c r="O407" s="102"/>
      <c r="P407" s="102"/>
      <c r="Q407" s="102"/>
      <c r="R407" s="102"/>
      <c r="S407" s="102"/>
      <c r="T407" s="102"/>
      <c r="U407" s="102"/>
      <c r="V407" s="102"/>
      <c r="W407" s="102"/>
      <c r="X407" s="102"/>
      <c r="Y407" s="102"/>
    </row>
    <row r="408" spans="1:25" x14ac:dyDescent="0.2">
      <c r="A408" s="221"/>
      <c r="G408" s="327"/>
      <c r="H408" s="281"/>
      <c r="I408" s="102"/>
      <c r="J408" s="102"/>
      <c r="K408" s="102"/>
      <c r="L408" s="102"/>
      <c r="M408" s="102"/>
      <c r="N408" s="102"/>
      <c r="O408" s="102"/>
      <c r="P408" s="102"/>
      <c r="Q408" s="102"/>
      <c r="R408" s="102"/>
      <c r="S408" s="102"/>
      <c r="T408" s="102"/>
      <c r="U408" s="102"/>
      <c r="V408" s="102"/>
      <c r="W408" s="102"/>
      <c r="X408" s="102"/>
      <c r="Y408" s="102"/>
    </row>
    <row r="409" spans="1:25" x14ac:dyDescent="0.2">
      <c r="A409" s="221"/>
      <c r="G409" s="327"/>
    </row>
    <row r="410" spans="1:25" x14ac:dyDescent="0.2">
      <c r="A410" s="221"/>
    </row>
    <row r="411" spans="1:25" x14ac:dyDescent="0.2">
      <c r="A411" s="221"/>
    </row>
    <row r="412" spans="1:25" x14ac:dyDescent="0.2">
      <c r="A412" s="221"/>
    </row>
    <row r="413" spans="1:25" x14ac:dyDescent="0.2">
      <c r="A413" s="221"/>
    </row>
    <row r="414" spans="1:25" x14ac:dyDescent="0.2">
      <c r="A414" s="221"/>
    </row>
    <row r="415" spans="1:25" x14ac:dyDescent="0.2">
      <c r="A415" s="221"/>
    </row>
    <row r="416" spans="1:25" x14ac:dyDescent="0.2">
      <c r="A416" s="221"/>
    </row>
    <row r="417" spans="1:1" x14ac:dyDescent="0.2">
      <c r="A417" s="221"/>
    </row>
    <row r="418" spans="1:1" x14ac:dyDescent="0.2">
      <c r="A418" s="221"/>
    </row>
    <row r="419" spans="1:1" x14ac:dyDescent="0.2">
      <c r="A419" s="221"/>
    </row>
    <row r="420" spans="1:1" x14ac:dyDescent="0.2">
      <c r="A420" s="221"/>
    </row>
    <row r="421" spans="1:1" x14ac:dyDescent="0.2">
      <c r="A421" s="221"/>
    </row>
    <row r="422" spans="1:1" x14ac:dyDescent="0.2">
      <c r="A422" s="221"/>
    </row>
    <row r="423" spans="1:1" x14ac:dyDescent="0.2">
      <c r="A423" s="221"/>
    </row>
    <row r="424" spans="1:1" x14ac:dyDescent="0.2">
      <c r="A424" s="221"/>
    </row>
    <row r="425" spans="1:1" x14ac:dyDescent="0.2">
      <c r="A425" s="221"/>
    </row>
    <row r="426" spans="1:1" x14ac:dyDescent="0.2">
      <c r="A426" s="221"/>
    </row>
    <row r="427" spans="1:1" x14ac:dyDescent="0.2">
      <c r="A427" s="221"/>
    </row>
    <row r="428" spans="1:1" x14ac:dyDescent="0.2">
      <c r="A428" s="221"/>
    </row>
    <row r="429" spans="1:1" x14ac:dyDescent="0.2">
      <c r="A429" s="221"/>
    </row>
    <row r="430" spans="1:1" x14ac:dyDescent="0.2">
      <c r="A430" s="221"/>
    </row>
    <row r="431" spans="1:1" x14ac:dyDescent="0.2">
      <c r="A431" s="221"/>
    </row>
    <row r="432" spans="1:1" x14ac:dyDescent="0.2">
      <c r="A432" s="221"/>
    </row>
    <row r="433" spans="1:1" x14ac:dyDescent="0.2">
      <c r="A433" s="221"/>
    </row>
    <row r="434" spans="1:1" x14ac:dyDescent="0.2">
      <c r="A434" s="221"/>
    </row>
    <row r="435" spans="1:1" x14ac:dyDescent="0.2">
      <c r="A435" s="221"/>
    </row>
    <row r="436" spans="1:1" x14ac:dyDescent="0.2">
      <c r="A436" s="221"/>
    </row>
    <row r="437" spans="1:1" x14ac:dyDescent="0.2">
      <c r="A437" s="221"/>
    </row>
    <row r="438" spans="1:1" x14ac:dyDescent="0.2">
      <c r="A438" s="221"/>
    </row>
    <row r="439" spans="1:1" x14ac:dyDescent="0.2">
      <c r="A439" s="221"/>
    </row>
    <row r="440" spans="1:1" x14ac:dyDescent="0.2">
      <c r="A440" s="221"/>
    </row>
    <row r="441" spans="1:1" x14ac:dyDescent="0.2">
      <c r="A441" s="221"/>
    </row>
    <row r="442" spans="1:1" x14ac:dyDescent="0.2">
      <c r="A442" s="221"/>
    </row>
    <row r="443" spans="1:1" x14ac:dyDescent="0.2">
      <c r="A443" s="221"/>
    </row>
    <row r="444" spans="1:1" x14ac:dyDescent="0.2">
      <c r="A444" s="221"/>
    </row>
    <row r="445" spans="1:1" x14ac:dyDescent="0.2">
      <c r="A445" s="221"/>
    </row>
    <row r="446" spans="1:1" x14ac:dyDescent="0.2">
      <c r="A446" s="221"/>
    </row>
    <row r="447" spans="1:1" x14ac:dyDescent="0.2">
      <c r="A447" s="221"/>
    </row>
    <row r="448" spans="1:1" x14ac:dyDescent="0.2">
      <c r="A448" s="221"/>
    </row>
    <row r="449" spans="1:1" x14ac:dyDescent="0.2">
      <c r="A449" s="221"/>
    </row>
    <row r="450" spans="1:1" x14ac:dyDescent="0.2">
      <c r="A450" s="221"/>
    </row>
    <row r="451" spans="1:1" x14ac:dyDescent="0.2">
      <c r="A451" s="221"/>
    </row>
    <row r="452" spans="1:1" x14ac:dyDescent="0.2">
      <c r="A452" s="221"/>
    </row>
    <row r="453" spans="1:1" x14ac:dyDescent="0.2">
      <c r="A453" s="221"/>
    </row>
    <row r="454" spans="1:1" x14ac:dyDescent="0.2">
      <c r="A454" s="221"/>
    </row>
    <row r="455" spans="1:1" x14ac:dyDescent="0.2">
      <c r="A455" s="221"/>
    </row>
    <row r="456" spans="1:1" x14ac:dyDescent="0.2">
      <c r="A456" s="221"/>
    </row>
    <row r="457" spans="1:1" x14ac:dyDescent="0.2">
      <c r="A457" s="221"/>
    </row>
    <row r="458" spans="1:1" x14ac:dyDescent="0.2">
      <c r="A458" s="221"/>
    </row>
    <row r="459" spans="1:1" x14ac:dyDescent="0.2">
      <c r="A459" s="221"/>
    </row>
    <row r="460" spans="1:1" x14ac:dyDescent="0.2">
      <c r="A460" s="221"/>
    </row>
    <row r="461" spans="1:1" x14ac:dyDescent="0.2">
      <c r="A461" s="221"/>
    </row>
    <row r="462" spans="1:1" x14ac:dyDescent="0.2">
      <c r="A462" s="221"/>
    </row>
    <row r="463" spans="1:1" x14ac:dyDescent="0.2">
      <c r="A463" s="221"/>
    </row>
    <row r="464" spans="1:1" x14ac:dyDescent="0.2">
      <c r="A464" s="221"/>
    </row>
    <row r="465" spans="1:1" x14ac:dyDescent="0.2">
      <c r="A465" s="221"/>
    </row>
    <row r="466" spans="1:1" x14ac:dyDescent="0.2">
      <c r="A466" s="221"/>
    </row>
    <row r="467" spans="1:1" x14ac:dyDescent="0.2">
      <c r="A467" s="221"/>
    </row>
    <row r="468" spans="1:1" x14ac:dyDescent="0.2">
      <c r="A468" s="221"/>
    </row>
    <row r="469" spans="1:1" x14ac:dyDescent="0.2">
      <c r="A469" s="221"/>
    </row>
    <row r="470" spans="1:1" x14ac:dyDescent="0.2">
      <c r="A470" s="221"/>
    </row>
    <row r="471" spans="1:1" x14ac:dyDescent="0.2">
      <c r="A471" s="221"/>
    </row>
    <row r="472" spans="1:1" x14ac:dyDescent="0.2">
      <c r="A472" s="221"/>
    </row>
    <row r="473" spans="1:1" x14ac:dyDescent="0.2">
      <c r="A473" s="221"/>
    </row>
    <row r="474" spans="1:1" x14ac:dyDescent="0.2">
      <c r="A474" s="221"/>
    </row>
    <row r="475" spans="1:1" x14ac:dyDescent="0.2">
      <c r="A475" s="221"/>
    </row>
    <row r="476" spans="1:1" x14ac:dyDescent="0.2">
      <c r="A476" s="221"/>
    </row>
    <row r="477" spans="1:1" x14ac:dyDescent="0.2">
      <c r="A477" s="221"/>
    </row>
    <row r="478" spans="1:1" x14ac:dyDescent="0.2">
      <c r="A478" s="221"/>
    </row>
    <row r="479" spans="1:1" x14ac:dyDescent="0.2">
      <c r="A479" s="221"/>
    </row>
    <row r="480" spans="1:1" x14ac:dyDescent="0.2">
      <c r="A480" s="221"/>
    </row>
    <row r="481" spans="1:1" x14ac:dyDescent="0.2">
      <c r="A481" s="221"/>
    </row>
    <row r="482" spans="1:1" x14ac:dyDescent="0.2">
      <c r="A482" s="221"/>
    </row>
    <row r="483" spans="1:1" x14ac:dyDescent="0.2">
      <c r="A483" s="221"/>
    </row>
    <row r="484" spans="1:1" x14ac:dyDescent="0.2">
      <c r="A484" s="221"/>
    </row>
    <row r="485" spans="1:1" x14ac:dyDescent="0.2">
      <c r="A485" s="221"/>
    </row>
    <row r="486" spans="1:1" x14ac:dyDescent="0.2">
      <c r="A486" s="221"/>
    </row>
    <row r="487" spans="1:1" x14ac:dyDescent="0.2">
      <c r="A487" s="221"/>
    </row>
    <row r="488" spans="1:1" x14ac:dyDescent="0.2">
      <c r="A488" s="221"/>
    </row>
    <row r="489" spans="1:1" x14ac:dyDescent="0.2">
      <c r="A489" s="221"/>
    </row>
    <row r="490" spans="1:1" x14ac:dyDescent="0.2">
      <c r="A490" s="221"/>
    </row>
    <row r="491" spans="1:1" x14ac:dyDescent="0.2">
      <c r="A491" s="221"/>
    </row>
    <row r="492" spans="1:1" x14ac:dyDescent="0.2">
      <c r="A492" s="221"/>
    </row>
    <row r="493" spans="1:1" x14ac:dyDescent="0.2">
      <c r="A493" s="221"/>
    </row>
    <row r="494" spans="1:1" x14ac:dyDescent="0.2">
      <c r="A494" s="221"/>
    </row>
    <row r="495" spans="1:1" x14ac:dyDescent="0.2">
      <c r="A495" s="221"/>
    </row>
    <row r="496" spans="1:1" x14ac:dyDescent="0.2">
      <c r="A496" s="221"/>
    </row>
    <row r="497" spans="1:1" x14ac:dyDescent="0.2">
      <c r="A497" s="221"/>
    </row>
    <row r="498" spans="1:1" x14ac:dyDescent="0.2">
      <c r="A498" s="221"/>
    </row>
    <row r="499" spans="1:1" x14ac:dyDescent="0.2">
      <c r="A499" s="221"/>
    </row>
    <row r="500" spans="1:1" x14ac:dyDescent="0.2">
      <c r="A500" s="221"/>
    </row>
    <row r="501" spans="1:1" x14ac:dyDescent="0.2">
      <c r="A501" s="221"/>
    </row>
    <row r="502" spans="1:1" x14ac:dyDescent="0.2">
      <c r="A502" s="221"/>
    </row>
    <row r="503" spans="1:1" x14ac:dyDescent="0.2">
      <c r="A503" s="221"/>
    </row>
    <row r="504" spans="1:1" x14ac:dyDescent="0.2">
      <c r="A504" s="221"/>
    </row>
    <row r="505" spans="1:1" x14ac:dyDescent="0.2">
      <c r="A505" s="221"/>
    </row>
    <row r="506" spans="1:1" x14ac:dyDescent="0.2">
      <c r="A506" s="221"/>
    </row>
    <row r="507" spans="1:1" x14ac:dyDescent="0.2">
      <c r="A507" s="221"/>
    </row>
    <row r="508" spans="1:1" x14ac:dyDescent="0.2">
      <c r="A508" s="221"/>
    </row>
    <row r="509" spans="1:1" x14ac:dyDescent="0.2">
      <c r="A509" s="221"/>
    </row>
    <row r="510" spans="1:1" x14ac:dyDescent="0.2">
      <c r="A510" s="221"/>
    </row>
    <row r="511" spans="1:1" x14ac:dyDescent="0.2">
      <c r="A511" s="221"/>
    </row>
    <row r="512" spans="1:1" x14ac:dyDescent="0.2">
      <c r="A512" s="221"/>
    </row>
    <row r="513" spans="1:1" x14ac:dyDescent="0.2">
      <c r="A513" s="221"/>
    </row>
    <row r="514" spans="1:1" x14ac:dyDescent="0.2">
      <c r="A514" s="221"/>
    </row>
    <row r="515" spans="1:1" x14ac:dyDescent="0.2">
      <c r="A515" s="221"/>
    </row>
    <row r="516" spans="1:1" x14ac:dyDescent="0.2">
      <c r="A516" s="221"/>
    </row>
    <row r="517" spans="1:1" x14ac:dyDescent="0.2">
      <c r="A517" s="221"/>
    </row>
    <row r="518" spans="1:1" x14ac:dyDescent="0.2">
      <c r="A518" s="221"/>
    </row>
    <row r="519" spans="1:1" x14ac:dyDescent="0.2">
      <c r="A519" s="221"/>
    </row>
    <row r="520" spans="1:1" x14ac:dyDescent="0.2">
      <c r="A520" s="221"/>
    </row>
    <row r="521" spans="1:1" x14ac:dyDescent="0.2">
      <c r="A521" s="221"/>
    </row>
    <row r="522" spans="1:1" x14ac:dyDescent="0.2">
      <c r="A522" s="221"/>
    </row>
    <row r="523" spans="1:1" x14ac:dyDescent="0.2">
      <c r="A523" s="221"/>
    </row>
    <row r="524" spans="1:1" x14ac:dyDescent="0.2">
      <c r="A524" s="221"/>
    </row>
    <row r="525" spans="1:1" x14ac:dyDescent="0.2">
      <c r="A525" s="221"/>
    </row>
    <row r="526" spans="1:1" x14ac:dyDescent="0.2">
      <c r="A526" s="221"/>
    </row>
    <row r="527" spans="1:1" x14ac:dyDescent="0.2">
      <c r="A527" s="221"/>
    </row>
    <row r="528" spans="1:1" x14ac:dyDescent="0.2">
      <c r="A528" s="221"/>
    </row>
    <row r="529" spans="1:1" x14ac:dyDescent="0.2">
      <c r="A529" s="221"/>
    </row>
    <row r="530" spans="1:1" x14ac:dyDescent="0.2">
      <c r="A530" s="221"/>
    </row>
    <row r="531" spans="1:1" x14ac:dyDescent="0.2">
      <c r="A531" s="221"/>
    </row>
    <row r="532" spans="1:1" x14ac:dyDescent="0.2">
      <c r="A532" s="221"/>
    </row>
    <row r="533" spans="1:1" x14ac:dyDescent="0.2">
      <c r="A533" s="221"/>
    </row>
    <row r="534" spans="1:1" x14ac:dyDescent="0.2">
      <c r="A534" s="221"/>
    </row>
    <row r="535" spans="1:1" x14ac:dyDescent="0.2">
      <c r="A535" s="221"/>
    </row>
    <row r="536" spans="1:1" x14ac:dyDescent="0.2">
      <c r="A536" s="221"/>
    </row>
    <row r="537" spans="1:1" x14ac:dyDescent="0.2">
      <c r="A537" s="221"/>
    </row>
    <row r="538" spans="1:1" x14ac:dyDescent="0.2">
      <c r="A538" s="221"/>
    </row>
    <row r="539" spans="1:1" x14ac:dyDescent="0.2">
      <c r="A539" s="221"/>
    </row>
    <row r="540" spans="1:1" x14ac:dyDescent="0.2">
      <c r="A540" s="221"/>
    </row>
    <row r="541" spans="1:1" x14ac:dyDescent="0.2">
      <c r="A541" s="221"/>
    </row>
    <row r="542" spans="1:1" x14ac:dyDescent="0.2">
      <c r="A542" s="221"/>
    </row>
    <row r="543" spans="1:1" x14ac:dyDescent="0.2">
      <c r="A543" s="221"/>
    </row>
    <row r="544" spans="1:1" x14ac:dyDescent="0.2">
      <c r="A544" s="221"/>
    </row>
    <row r="545" spans="1:1" x14ac:dyDescent="0.2">
      <c r="A545" s="221"/>
    </row>
    <row r="546" spans="1:1" x14ac:dyDescent="0.2">
      <c r="A546" s="221"/>
    </row>
    <row r="547" spans="1:1" x14ac:dyDescent="0.2">
      <c r="A547" s="221"/>
    </row>
    <row r="548" spans="1:1" x14ac:dyDescent="0.2">
      <c r="A548" s="221"/>
    </row>
    <row r="549" spans="1:1" x14ac:dyDescent="0.2">
      <c r="A549" s="221"/>
    </row>
    <row r="550" spans="1:1" x14ac:dyDescent="0.2">
      <c r="A550" s="221"/>
    </row>
    <row r="551" spans="1:1" x14ac:dyDescent="0.2">
      <c r="A551" s="221"/>
    </row>
    <row r="552" spans="1:1" x14ac:dyDescent="0.2">
      <c r="A552" s="221"/>
    </row>
    <row r="553" spans="1:1" x14ac:dyDescent="0.2">
      <c r="A553" s="221"/>
    </row>
    <row r="554" spans="1:1" x14ac:dyDescent="0.2">
      <c r="A554" s="221"/>
    </row>
    <row r="555" spans="1:1" x14ac:dyDescent="0.2">
      <c r="A555" s="221"/>
    </row>
    <row r="556" spans="1:1" x14ac:dyDescent="0.2">
      <c r="A556" s="221"/>
    </row>
    <row r="557" spans="1:1" x14ac:dyDescent="0.2">
      <c r="A557" s="221"/>
    </row>
    <row r="558" spans="1:1" x14ac:dyDescent="0.2">
      <c r="A558" s="221"/>
    </row>
    <row r="559" spans="1:1" x14ac:dyDescent="0.2">
      <c r="A559" s="221"/>
    </row>
    <row r="560" spans="1:1" x14ac:dyDescent="0.2">
      <c r="A560" s="221"/>
    </row>
    <row r="561" spans="1:1" x14ac:dyDescent="0.2">
      <c r="A561" s="221"/>
    </row>
    <row r="562" spans="1:1" x14ac:dyDescent="0.2">
      <c r="A562" s="221"/>
    </row>
    <row r="563" spans="1:1" x14ac:dyDescent="0.2">
      <c r="A563" s="221"/>
    </row>
    <row r="564" spans="1:1" x14ac:dyDescent="0.2">
      <c r="A564" s="221"/>
    </row>
    <row r="565" spans="1:1" x14ac:dyDescent="0.2">
      <c r="A565" s="221"/>
    </row>
    <row r="566" spans="1:1" x14ac:dyDescent="0.2">
      <c r="A566" s="221"/>
    </row>
    <row r="567" spans="1:1" x14ac:dyDescent="0.2">
      <c r="A567" s="221"/>
    </row>
    <row r="568" spans="1:1" x14ac:dyDescent="0.2">
      <c r="A568" s="221"/>
    </row>
    <row r="569" spans="1:1" x14ac:dyDescent="0.2">
      <c r="A569" s="221"/>
    </row>
    <row r="570" spans="1:1" x14ac:dyDescent="0.2">
      <c r="A570" s="221"/>
    </row>
    <row r="571" spans="1:1" x14ac:dyDescent="0.2">
      <c r="A571" s="221"/>
    </row>
    <row r="572" spans="1:1" x14ac:dyDescent="0.2">
      <c r="A572" s="221"/>
    </row>
    <row r="573" spans="1:1" x14ac:dyDescent="0.2">
      <c r="A573" s="221"/>
    </row>
    <row r="574" spans="1:1" x14ac:dyDescent="0.2">
      <c r="A574" s="221"/>
    </row>
    <row r="575" spans="1:1" x14ac:dyDescent="0.2">
      <c r="A575" s="221"/>
    </row>
    <row r="576" spans="1:1" x14ac:dyDescent="0.2">
      <c r="A576" s="221"/>
    </row>
    <row r="577" spans="1:1" x14ac:dyDescent="0.2">
      <c r="A577" s="221"/>
    </row>
    <row r="578" spans="1:1" x14ac:dyDescent="0.2">
      <c r="A578" s="221"/>
    </row>
    <row r="579" spans="1:1" x14ac:dyDescent="0.2">
      <c r="A579" s="221"/>
    </row>
    <row r="580" spans="1:1" x14ac:dyDescent="0.2">
      <c r="A580" s="221"/>
    </row>
    <row r="581" spans="1:1" x14ac:dyDescent="0.2">
      <c r="A581" s="221"/>
    </row>
    <row r="582" spans="1:1" x14ac:dyDescent="0.2">
      <c r="A582" s="221"/>
    </row>
    <row r="583" spans="1:1" x14ac:dyDescent="0.2">
      <c r="A583" s="221"/>
    </row>
    <row r="584" spans="1:1" x14ac:dyDescent="0.2">
      <c r="A584" s="221"/>
    </row>
    <row r="585" spans="1:1" x14ac:dyDescent="0.2">
      <c r="A585" s="221"/>
    </row>
    <row r="586" spans="1:1" x14ac:dyDescent="0.2">
      <c r="A586" s="221"/>
    </row>
    <row r="587" spans="1:1" x14ac:dyDescent="0.2">
      <c r="A587" s="221"/>
    </row>
    <row r="588" spans="1:1" x14ac:dyDescent="0.2">
      <c r="A588" s="221"/>
    </row>
    <row r="589" spans="1:1" x14ac:dyDescent="0.2">
      <c r="A589" s="221"/>
    </row>
    <row r="590" spans="1:1" x14ac:dyDescent="0.2">
      <c r="A590" s="221"/>
    </row>
    <row r="591" spans="1:1" x14ac:dyDescent="0.2">
      <c r="A591" s="221"/>
    </row>
    <row r="592" spans="1:1" x14ac:dyDescent="0.2">
      <c r="A592" s="221"/>
    </row>
    <row r="593" spans="1:1" x14ac:dyDescent="0.2">
      <c r="A593" s="221"/>
    </row>
    <row r="594" spans="1:1" x14ac:dyDescent="0.2">
      <c r="A594" s="221"/>
    </row>
    <row r="595" spans="1:1" x14ac:dyDescent="0.2">
      <c r="A595" s="221"/>
    </row>
    <row r="596" spans="1:1" x14ac:dyDescent="0.2">
      <c r="A596" s="221"/>
    </row>
    <row r="597" spans="1:1" x14ac:dyDescent="0.2">
      <c r="A597" s="221"/>
    </row>
    <row r="598" spans="1:1" x14ac:dyDescent="0.2">
      <c r="A598" s="221"/>
    </row>
    <row r="599" spans="1:1" x14ac:dyDescent="0.2">
      <c r="A599" s="221"/>
    </row>
    <row r="600" spans="1:1" x14ac:dyDescent="0.2">
      <c r="A600" s="221"/>
    </row>
    <row r="601" spans="1:1" x14ac:dyDescent="0.2">
      <c r="A601" s="221"/>
    </row>
    <row r="602" spans="1:1" x14ac:dyDescent="0.2">
      <c r="A602" s="221"/>
    </row>
    <row r="603" spans="1:1" x14ac:dyDescent="0.2">
      <c r="A603" s="221"/>
    </row>
    <row r="604" spans="1:1" x14ac:dyDescent="0.2">
      <c r="A604" s="221"/>
    </row>
    <row r="605" spans="1:1" x14ac:dyDescent="0.2">
      <c r="A605" s="221"/>
    </row>
    <row r="606" spans="1:1" x14ac:dyDescent="0.2">
      <c r="A606" s="221"/>
    </row>
    <row r="607" spans="1:1" x14ac:dyDescent="0.2">
      <c r="A607" s="221"/>
    </row>
    <row r="608" spans="1:1" x14ac:dyDescent="0.2">
      <c r="A608" s="221"/>
    </row>
    <row r="609" spans="1:1" x14ac:dyDescent="0.2">
      <c r="A609" s="221"/>
    </row>
    <row r="610" spans="1:1" x14ac:dyDescent="0.2">
      <c r="A610" s="221"/>
    </row>
    <row r="611" spans="1:1" x14ac:dyDescent="0.2">
      <c r="A611" s="221"/>
    </row>
    <row r="612" spans="1:1" x14ac:dyDescent="0.2">
      <c r="A612" s="221"/>
    </row>
    <row r="613" spans="1:1" x14ac:dyDescent="0.2">
      <c r="A613" s="221"/>
    </row>
    <row r="614" spans="1:1" x14ac:dyDescent="0.2">
      <c r="A614" s="221"/>
    </row>
    <row r="615" spans="1:1" x14ac:dyDescent="0.2">
      <c r="A615" s="221"/>
    </row>
    <row r="616" spans="1:1" x14ac:dyDescent="0.2">
      <c r="A616" s="221"/>
    </row>
    <row r="617" spans="1:1" x14ac:dyDescent="0.2">
      <c r="A617" s="221"/>
    </row>
    <row r="618" spans="1:1" x14ac:dyDescent="0.2">
      <c r="A618" s="221"/>
    </row>
    <row r="619" spans="1:1" x14ac:dyDescent="0.2">
      <c r="A619" s="221"/>
    </row>
    <row r="620" spans="1:1" x14ac:dyDescent="0.2">
      <c r="A620" s="221"/>
    </row>
    <row r="621" spans="1:1" x14ac:dyDescent="0.2">
      <c r="A621" s="221"/>
    </row>
    <row r="622" spans="1:1" x14ac:dyDescent="0.2">
      <c r="A622" s="221"/>
    </row>
    <row r="623" spans="1:1" x14ac:dyDescent="0.2">
      <c r="A623" s="221"/>
    </row>
    <row r="624" spans="1:1" x14ac:dyDescent="0.2">
      <c r="A624" s="221"/>
    </row>
    <row r="625" spans="1:1" x14ac:dyDescent="0.2">
      <c r="A625" s="221"/>
    </row>
    <row r="626" spans="1:1" x14ac:dyDescent="0.2">
      <c r="A626" s="221"/>
    </row>
    <row r="627" spans="1:1" x14ac:dyDescent="0.2">
      <c r="A627" s="221"/>
    </row>
    <row r="628" spans="1:1" x14ac:dyDescent="0.2">
      <c r="A628" s="221"/>
    </row>
    <row r="629" spans="1:1" x14ac:dyDescent="0.2">
      <c r="A629" s="221"/>
    </row>
    <row r="630" spans="1:1" x14ac:dyDescent="0.2">
      <c r="A630" s="221"/>
    </row>
    <row r="631" spans="1:1" x14ac:dyDescent="0.2">
      <c r="A631" s="221"/>
    </row>
    <row r="632" spans="1:1" x14ac:dyDescent="0.2">
      <c r="A632" s="221"/>
    </row>
    <row r="633" spans="1:1" x14ac:dyDescent="0.2">
      <c r="A633" s="221"/>
    </row>
    <row r="634" spans="1:1" x14ac:dyDescent="0.2">
      <c r="A634" s="221"/>
    </row>
    <row r="635" spans="1:1" x14ac:dyDescent="0.2">
      <c r="A635" s="221"/>
    </row>
    <row r="636" spans="1:1" x14ac:dyDescent="0.2">
      <c r="A636" s="221"/>
    </row>
    <row r="637" spans="1:1" x14ac:dyDescent="0.2">
      <c r="A637" s="221"/>
    </row>
    <row r="638" spans="1:1" x14ac:dyDescent="0.2">
      <c r="A638" s="221"/>
    </row>
    <row r="639" spans="1:1" x14ac:dyDescent="0.2">
      <c r="A639" s="221"/>
    </row>
    <row r="640" spans="1:1" x14ac:dyDescent="0.2">
      <c r="A640" s="221"/>
    </row>
    <row r="641" spans="1:1" x14ac:dyDescent="0.2">
      <c r="A641" s="221"/>
    </row>
    <row r="642" spans="1:1" x14ac:dyDescent="0.2">
      <c r="A642" s="221"/>
    </row>
    <row r="643" spans="1:1" x14ac:dyDescent="0.2">
      <c r="A643" s="221"/>
    </row>
    <row r="644" spans="1:1" x14ac:dyDescent="0.2">
      <c r="A644" s="221"/>
    </row>
    <row r="645" spans="1:1" x14ac:dyDescent="0.2">
      <c r="A645" s="221"/>
    </row>
    <row r="646" spans="1:1" x14ac:dyDescent="0.2">
      <c r="A646" s="221"/>
    </row>
    <row r="647" spans="1:1" x14ac:dyDescent="0.2">
      <c r="A647" s="221"/>
    </row>
    <row r="648" spans="1:1" x14ac:dyDescent="0.2">
      <c r="A648" s="221"/>
    </row>
    <row r="649" spans="1:1" x14ac:dyDescent="0.2">
      <c r="A649" s="221"/>
    </row>
    <row r="650" spans="1:1" x14ac:dyDescent="0.2">
      <c r="A650" s="221"/>
    </row>
    <row r="651" spans="1:1" x14ac:dyDescent="0.2">
      <c r="A651" s="221"/>
    </row>
    <row r="652" spans="1:1" x14ac:dyDescent="0.2">
      <c r="A652" s="221"/>
    </row>
    <row r="653" spans="1:1" x14ac:dyDescent="0.2">
      <c r="A653" s="221"/>
    </row>
    <row r="654" spans="1:1" x14ac:dyDescent="0.2">
      <c r="A654" s="221"/>
    </row>
    <row r="655" spans="1:1" x14ac:dyDescent="0.2">
      <c r="A655" s="221"/>
    </row>
    <row r="656" spans="1:1" x14ac:dyDescent="0.2">
      <c r="A656" s="221"/>
    </row>
    <row r="657" spans="1:1" x14ac:dyDescent="0.2">
      <c r="A657" s="221"/>
    </row>
    <row r="658" spans="1:1" x14ac:dyDescent="0.2">
      <c r="A658" s="221"/>
    </row>
    <row r="659" spans="1:1" x14ac:dyDescent="0.2">
      <c r="A659" s="221"/>
    </row>
    <row r="660" spans="1:1" x14ac:dyDescent="0.2">
      <c r="A660" s="221"/>
    </row>
    <row r="661" spans="1:1" x14ac:dyDescent="0.2">
      <c r="A661" s="221"/>
    </row>
    <row r="662" spans="1:1" x14ac:dyDescent="0.2">
      <c r="A662" s="221"/>
    </row>
    <row r="663" spans="1:1" x14ac:dyDescent="0.2">
      <c r="A663" s="221"/>
    </row>
    <row r="664" spans="1:1" x14ac:dyDescent="0.2">
      <c r="A664" s="221"/>
    </row>
    <row r="665" spans="1:1" x14ac:dyDescent="0.2">
      <c r="A665" s="221"/>
    </row>
    <row r="666" spans="1:1" x14ac:dyDescent="0.2">
      <c r="A666" s="221"/>
    </row>
    <row r="667" spans="1:1" x14ac:dyDescent="0.2">
      <c r="A667" s="221"/>
    </row>
    <row r="668" spans="1:1" x14ac:dyDescent="0.2">
      <c r="A668" s="221"/>
    </row>
    <row r="669" spans="1:1" x14ac:dyDescent="0.2">
      <c r="A669" s="221"/>
    </row>
    <row r="670" spans="1:1" x14ac:dyDescent="0.2">
      <c r="A670" s="221"/>
    </row>
    <row r="671" spans="1:1" x14ac:dyDescent="0.2">
      <c r="A671" s="221"/>
    </row>
    <row r="672" spans="1:1" x14ac:dyDescent="0.2">
      <c r="A672" s="221"/>
    </row>
    <row r="673" spans="1:1" x14ac:dyDescent="0.2">
      <c r="A673" s="221"/>
    </row>
    <row r="674" spans="1:1" x14ac:dyDescent="0.2">
      <c r="A674" s="221"/>
    </row>
    <row r="675" spans="1:1" x14ac:dyDescent="0.2">
      <c r="A675" s="221"/>
    </row>
    <row r="676" spans="1:1" x14ac:dyDescent="0.2">
      <c r="A676" s="221"/>
    </row>
    <row r="677" spans="1:1" x14ac:dyDescent="0.2">
      <c r="A677" s="221"/>
    </row>
    <row r="678" spans="1:1" x14ac:dyDescent="0.2">
      <c r="A678" s="221"/>
    </row>
    <row r="679" spans="1:1" x14ac:dyDescent="0.2">
      <c r="A679" s="221"/>
    </row>
    <row r="680" spans="1:1" x14ac:dyDescent="0.2">
      <c r="A680" s="221"/>
    </row>
    <row r="681" spans="1:1" x14ac:dyDescent="0.2">
      <c r="A681" s="221"/>
    </row>
    <row r="682" spans="1:1" x14ac:dyDescent="0.2">
      <c r="A682" s="221"/>
    </row>
    <row r="683" spans="1:1" x14ac:dyDescent="0.2">
      <c r="A683" s="221"/>
    </row>
    <row r="684" spans="1:1" x14ac:dyDescent="0.2">
      <c r="A684" s="221"/>
    </row>
    <row r="685" spans="1:1" x14ac:dyDescent="0.2">
      <c r="A685" s="221"/>
    </row>
    <row r="686" spans="1:1" x14ac:dyDescent="0.2">
      <c r="A686" s="221"/>
    </row>
    <row r="687" spans="1:1" x14ac:dyDescent="0.2">
      <c r="A687" s="221"/>
    </row>
    <row r="688" spans="1:1" x14ac:dyDescent="0.2">
      <c r="A688" s="221"/>
    </row>
    <row r="689" spans="1:1" x14ac:dyDescent="0.2">
      <c r="A689" s="221"/>
    </row>
    <row r="690" spans="1:1" x14ac:dyDescent="0.2">
      <c r="A690" s="221"/>
    </row>
    <row r="691" spans="1:1" x14ac:dyDescent="0.2">
      <c r="A691" s="221"/>
    </row>
    <row r="692" spans="1:1" x14ac:dyDescent="0.2">
      <c r="A692" s="221"/>
    </row>
    <row r="693" spans="1:1" x14ac:dyDescent="0.2">
      <c r="A693" s="221"/>
    </row>
    <row r="694" spans="1:1" x14ac:dyDescent="0.2">
      <c r="A694" s="221"/>
    </row>
    <row r="695" spans="1:1" x14ac:dyDescent="0.2">
      <c r="A695" s="221"/>
    </row>
    <row r="696" spans="1:1" x14ac:dyDescent="0.2">
      <c r="A696" s="221"/>
    </row>
    <row r="697" spans="1:1" x14ac:dyDescent="0.2">
      <c r="A697" s="221"/>
    </row>
    <row r="698" spans="1:1" x14ac:dyDescent="0.2">
      <c r="A698" s="221"/>
    </row>
  </sheetData>
  <mergeCells count="19">
    <mergeCell ref="P6:P7"/>
    <mergeCell ref="Q6:Q7"/>
    <mergeCell ref="R6:R7"/>
    <mergeCell ref="S6:S7"/>
    <mergeCell ref="T6:T7"/>
    <mergeCell ref="A38:H38"/>
    <mergeCell ref="I6:I7"/>
    <mergeCell ref="J6:J7"/>
    <mergeCell ref="K6:K7"/>
    <mergeCell ref="M6:M7"/>
    <mergeCell ref="N6:N7"/>
    <mergeCell ref="O6:O7"/>
    <mergeCell ref="A2:H2"/>
    <mergeCell ref="A4:H4"/>
    <mergeCell ref="B6:D7"/>
    <mergeCell ref="E6:E7"/>
    <mergeCell ref="F6:F7"/>
    <mergeCell ref="G6:G7"/>
    <mergeCell ref="H6:H7"/>
  </mergeCells>
  <printOptions horizontalCentered="1"/>
  <pageMargins left="0.27" right="0.16" top="0.17" bottom="0.26" header="0.28999999999999998" footer="0.17"/>
  <pageSetup scale="75" orientation="landscape" r:id="rId1"/>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K698"/>
  <sheetViews>
    <sheetView zoomScale="75" zoomScaleNormal="100" workbookViewId="0">
      <pane xSplit="4" ySplit="7" topLeftCell="E8" activePane="bottomRight" state="frozen"/>
      <selection activeCell="A74" sqref="A74:N74"/>
      <selection pane="topRight" activeCell="A74" sqref="A74:N74"/>
      <selection pane="bottomLeft" activeCell="A74" sqref="A74:N74"/>
      <selection pane="bottomRight" activeCell="E8" sqref="E8"/>
    </sheetView>
  </sheetViews>
  <sheetFormatPr defaultColWidth="9.140625" defaultRowHeight="14.25" x14ac:dyDescent="0.2"/>
  <cols>
    <col min="1" max="1" width="4.140625" style="33" customWidth="1"/>
    <col min="2" max="2" width="5.42578125" style="14" customWidth="1"/>
    <col min="3" max="3" width="4.5703125" style="14" customWidth="1"/>
    <col min="4" max="4" width="48.7109375" style="505" customWidth="1"/>
    <col min="5" max="5" width="7.42578125" style="4" customWidth="1"/>
    <col min="6" max="6" width="10.140625" style="4" customWidth="1"/>
    <col min="7" max="7" width="14.28515625" style="265" customWidth="1"/>
    <col min="8" max="8" width="92.140625" style="282" customWidth="1"/>
    <col min="9" max="9" width="11.7109375" style="14" customWidth="1"/>
    <col min="10" max="10" width="11.5703125" style="14" customWidth="1"/>
    <col min="11" max="11" width="15.7109375" style="14" customWidth="1"/>
    <col min="12" max="12" width="12.7109375" style="14" bestFit="1" customWidth="1"/>
    <col min="13" max="13" width="27" style="14" bestFit="1" customWidth="1"/>
    <col min="14" max="22" width="11.5703125" style="14" customWidth="1"/>
    <col min="23" max="32" width="11.5703125" style="505" customWidth="1"/>
    <col min="33" max="16384" width="9.140625" style="505"/>
  </cols>
  <sheetData>
    <row r="1" spans="1:37" ht="33.75" customHeight="1" x14ac:dyDescent="0.25">
      <c r="A1" s="507" t="s">
        <v>313</v>
      </c>
      <c r="B1" s="337"/>
      <c r="C1" s="337"/>
      <c r="D1" s="339" t="str">
        <f>'Startup Statement of Activities'!$D$1</f>
        <v>KIPP New Orleans</v>
      </c>
      <c r="E1" s="6"/>
      <c r="F1" s="6"/>
      <c r="G1" s="263"/>
      <c r="H1" s="273"/>
      <c r="I1" s="22"/>
      <c r="J1" s="22"/>
      <c r="K1" s="22"/>
      <c r="L1" s="22"/>
    </row>
    <row r="2" spans="1:37" ht="18" customHeight="1" x14ac:dyDescent="0.25">
      <c r="A2" s="653" t="s">
        <v>484</v>
      </c>
      <c r="B2" s="653"/>
      <c r="C2" s="653"/>
      <c r="D2" s="653"/>
      <c r="E2" s="653"/>
      <c r="F2" s="653"/>
      <c r="G2" s="653"/>
      <c r="H2" s="653"/>
      <c r="I2" s="246"/>
      <c r="J2" s="246"/>
      <c r="K2" s="246"/>
      <c r="L2" s="246"/>
      <c r="M2" s="246"/>
      <c r="N2" s="246"/>
      <c r="O2" s="246"/>
      <c r="P2" s="246"/>
      <c r="Q2" s="246"/>
      <c r="R2" s="246"/>
      <c r="S2" s="246"/>
      <c r="T2" s="246"/>
    </row>
    <row r="3" spans="1:37" ht="18" customHeight="1" x14ac:dyDescent="0.25">
      <c r="A3" s="510"/>
      <c r="B3" s="510"/>
      <c r="C3" s="510"/>
      <c r="D3" s="510"/>
      <c r="E3" s="510"/>
      <c r="F3" s="510"/>
      <c r="G3" s="510"/>
      <c r="H3" s="510"/>
      <c r="I3" s="246"/>
      <c r="J3" s="246"/>
      <c r="K3" s="246"/>
      <c r="L3" s="246"/>
      <c r="M3" s="246"/>
      <c r="N3" s="246"/>
      <c r="O3" s="246"/>
      <c r="P3" s="246"/>
      <c r="Q3" s="246"/>
      <c r="R3" s="246"/>
      <c r="S3" s="246"/>
      <c r="T3" s="246"/>
    </row>
    <row r="4" spans="1:37" ht="35.25" customHeight="1" x14ac:dyDescent="0.25">
      <c r="A4" s="661" t="s">
        <v>361</v>
      </c>
      <c r="B4" s="662"/>
      <c r="C4" s="662"/>
      <c r="D4" s="662"/>
      <c r="E4" s="662"/>
      <c r="F4" s="662"/>
      <c r="G4" s="662"/>
      <c r="H4" s="663"/>
      <c r="I4" s="246"/>
      <c r="J4" s="246"/>
      <c r="K4" s="246"/>
      <c r="L4" s="246"/>
      <c r="M4" s="246"/>
      <c r="N4" s="246"/>
      <c r="O4" s="246"/>
      <c r="P4" s="246"/>
      <c r="Q4" s="246"/>
      <c r="R4" s="246"/>
      <c r="S4" s="246"/>
      <c r="T4" s="246"/>
    </row>
    <row r="5" spans="1:37" ht="18.75" customHeight="1" thickBot="1" x14ac:dyDescent="0.3">
      <c r="A5" s="28"/>
      <c r="B5" s="22"/>
      <c r="C5" s="22"/>
      <c r="D5" s="6"/>
      <c r="E5" s="6"/>
      <c r="F5" s="6"/>
      <c r="G5" s="263"/>
      <c r="H5" s="273"/>
      <c r="I5" s="22"/>
      <c r="J5" s="22"/>
      <c r="K5" s="22"/>
      <c r="L5" s="22"/>
    </row>
    <row r="6" spans="1:37" s="2" customFormat="1" ht="15.75" customHeight="1" thickTop="1" x14ac:dyDescent="0.25">
      <c r="A6" s="29"/>
      <c r="B6" s="641" t="s">
        <v>239</v>
      </c>
      <c r="C6" s="642"/>
      <c r="D6" s="642"/>
      <c r="E6" s="644" t="s">
        <v>232</v>
      </c>
      <c r="F6" s="657" t="s">
        <v>233</v>
      </c>
      <c r="G6" s="664" t="s">
        <v>314</v>
      </c>
      <c r="H6" s="659" t="s">
        <v>315</v>
      </c>
      <c r="I6" s="651"/>
      <c r="J6" s="651"/>
      <c r="K6" s="651"/>
      <c r="L6" s="508"/>
      <c r="M6" s="651"/>
      <c r="N6" s="651"/>
      <c r="O6" s="651"/>
      <c r="P6" s="651"/>
      <c r="Q6" s="649"/>
      <c r="R6" s="649"/>
      <c r="S6" s="649"/>
      <c r="T6" s="649"/>
      <c r="U6" s="239"/>
      <c r="V6" s="239"/>
      <c r="W6" s="239"/>
      <c r="X6" s="239"/>
      <c r="Y6" s="239"/>
      <c r="Z6" s="239"/>
      <c r="AA6" s="239"/>
      <c r="AB6" s="239"/>
      <c r="AC6" s="239"/>
      <c r="AD6" s="239"/>
      <c r="AE6" s="239"/>
      <c r="AF6" s="239"/>
      <c r="AG6" s="239"/>
      <c r="AH6" s="239"/>
      <c r="AI6" s="239"/>
      <c r="AJ6" s="239"/>
      <c r="AK6" s="239"/>
    </row>
    <row r="7" spans="1:37" s="41" customFormat="1" ht="15.75" thickBot="1" x14ac:dyDescent="0.3">
      <c r="A7" s="38"/>
      <c r="B7" s="655"/>
      <c r="C7" s="655"/>
      <c r="D7" s="655"/>
      <c r="E7" s="656"/>
      <c r="F7" s="658"/>
      <c r="G7" s="665"/>
      <c r="H7" s="660"/>
      <c r="I7" s="652"/>
      <c r="J7" s="652"/>
      <c r="K7" s="652"/>
      <c r="L7" s="509"/>
      <c r="M7" s="652"/>
      <c r="N7" s="652"/>
      <c r="O7" s="652"/>
      <c r="P7" s="652"/>
      <c r="Q7" s="650"/>
      <c r="R7" s="650"/>
      <c r="S7" s="650"/>
      <c r="T7" s="650"/>
      <c r="U7" s="239"/>
      <c r="V7" s="239"/>
      <c r="W7" s="239"/>
      <c r="X7" s="239"/>
      <c r="Y7" s="239"/>
      <c r="Z7" s="239"/>
      <c r="AA7" s="239"/>
      <c r="AB7" s="239"/>
      <c r="AC7" s="239"/>
      <c r="AD7" s="239"/>
      <c r="AE7" s="239"/>
      <c r="AF7" s="239"/>
      <c r="AG7" s="239"/>
      <c r="AH7" s="239"/>
      <c r="AI7" s="239"/>
      <c r="AJ7" s="239"/>
      <c r="AK7" s="239"/>
    </row>
    <row r="8" spans="1:37" s="40" customFormat="1" ht="20.25" customHeight="1" thickTop="1" x14ac:dyDescent="0.25">
      <c r="A8" s="39"/>
      <c r="B8" s="42" t="s">
        <v>267</v>
      </c>
      <c r="E8" s="70"/>
      <c r="F8" s="245"/>
      <c r="G8" s="300"/>
      <c r="H8" s="274"/>
      <c r="I8" s="487"/>
      <c r="J8" s="487"/>
      <c r="K8" s="487"/>
      <c r="L8" s="487"/>
      <c r="M8" s="487"/>
      <c r="N8" s="487"/>
      <c r="O8" s="487"/>
      <c r="P8" s="487"/>
      <c r="Q8" s="237"/>
      <c r="R8" s="237"/>
      <c r="S8" s="237"/>
      <c r="T8" s="237"/>
      <c r="U8" s="102"/>
      <c r="V8" s="102"/>
      <c r="W8" s="102"/>
      <c r="X8" s="102"/>
      <c r="Y8" s="102"/>
      <c r="Z8" s="102"/>
      <c r="AA8" s="102"/>
      <c r="AB8" s="102"/>
      <c r="AC8" s="102"/>
      <c r="AD8" s="102"/>
      <c r="AE8" s="102"/>
      <c r="AF8" s="102"/>
      <c r="AG8" s="102"/>
      <c r="AH8" s="102"/>
      <c r="AI8" s="102"/>
      <c r="AJ8" s="102"/>
      <c r="AK8" s="102"/>
    </row>
    <row r="9" spans="1:37" ht="3" customHeight="1" x14ac:dyDescent="0.2">
      <c r="A9" s="30"/>
      <c r="B9" s="36"/>
      <c r="C9" s="13"/>
      <c r="D9" s="13"/>
      <c r="E9" s="72"/>
      <c r="F9" s="157"/>
      <c r="G9" s="301"/>
      <c r="H9" s="275"/>
      <c r="I9" s="487"/>
      <c r="J9" s="487"/>
      <c r="K9" s="487"/>
      <c r="L9" s="487"/>
      <c r="M9" s="487"/>
      <c r="N9" s="487"/>
      <c r="O9" s="487"/>
      <c r="P9" s="487"/>
      <c r="Q9" s="237"/>
      <c r="R9" s="237"/>
      <c r="S9" s="237"/>
      <c r="T9" s="237"/>
      <c r="U9" s="102"/>
      <c r="V9" s="102"/>
      <c r="W9" s="102"/>
      <c r="X9" s="102"/>
      <c r="Y9" s="102"/>
      <c r="Z9" s="102"/>
      <c r="AA9" s="102"/>
      <c r="AB9" s="102"/>
      <c r="AC9" s="102"/>
      <c r="AD9" s="102"/>
      <c r="AE9" s="102"/>
      <c r="AF9" s="102"/>
      <c r="AG9" s="102"/>
      <c r="AH9" s="102"/>
      <c r="AI9" s="102"/>
      <c r="AJ9" s="102"/>
      <c r="AK9" s="102"/>
    </row>
    <row r="10" spans="1:37" x14ac:dyDescent="0.2">
      <c r="A10" s="31"/>
      <c r="B10" s="26" t="s">
        <v>32</v>
      </c>
      <c r="C10" s="12"/>
      <c r="D10" s="12"/>
      <c r="E10" s="62"/>
      <c r="F10" s="158"/>
      <c r="G10" s="302"/>
      <c r="H10" s="276"/>
      <c r="I10" s="487"/>
      <c r="J10" s="487"/>
      <c r="K10" s="487"/>
      <c r="L10" s="487"/>
      <c r="M10" s="487"/>
      <c r="N10" s="487"/>
      <c r="O10" s="487"/>
      <c r="P10" s="487"/>
      <c r="Q10" s="237"/>
      <c r="R10" s="237"/>
      <c r="S10" s="237"/>
      <c r="T10" s="237"/>
      <c r="U10" s="102"/>
      <c r="V10" s="102"/>
      <c r="W10" s="102"/>
      <c r="X10" s="102"/>
      <c r="Y10" s="102"/>
      <c r="Z10" s="102"/>
      <c r="AA10" s="102"/>
      <c r="AB10" s="102"/>
      <c r="AC10" s="102"/>
      <c r="AD10" s="102"/>
      <c r="AE10" s="102"/>
      <c r="AF10" s="102"/>
      <c r="AG10" s="102"/>
      <c r="AH10" s="102"/>
      <c r="AI10" s="102"/>
      <c r="AJ10" s="102"/>
      <c r="AK10" s="102"/>
    </row>
    <row r="11" spans="1:37" x14ac:dyDescent="0.2">
      <c r="A11" s="211">
        <v>1</v>
      </c>
      <c r="B11" s="37"/>
      <c r="C11" s="10" t="s">
        <v>293</v>
      </c>
      <c r="D11" s="10"/>
      <c r="E11" s="19"/>
      <c r="F11" s="159" t="s">
        <v>277</v>
      </c>
      <c r="G11" s="303">
        <f>+'KIPP Assumptions'!E$6*SUM('KIPP Assumptions'!E$17,'KIPP Assumptions'!E$19)</f>
        <v>5169613.3225562498</v>
      </c>
      <c r="H11" s="277"/>
      <c r="I11" s="487"/>
      <c r="J11" s="487"/>
      <c r="K11" s="487"/>
      <c r="L11" s="487"/>
      <c r="M11" s="487"/>
      <c r="N11" s="487"/>
      <c r="O11" s="487"/>
      <c r="P11" s="487"/>
      <c r="Q11" s="237"/>
      <c r="R11" s="237"/>
      <c r="S11" s="237"/>
      <c r="T11" s="237"/>
      <c r="U11" s="102"/>
      <c r="V11" s="102"/>
      <c r="W11" s="102"/>
      <c r="X11" s="102"/>
      <c r="Y11" s="102"/>
      <c r="Z11" s="102"/>
      <c r="AA11" s="102"/>
      <c r="AB11" s="102"/>
      <c r="AC11" s="102"/>
      <c r="AD11" s="102"/>
      <c r="AE11" s="102"/>
      <c r="AF11" s="102"/>
      <c r="AG11" s="102"/>
      <c r="AH11" s="102"/>
      <c r="AI11" s="102"/>
      <c r="AJ11" s="102"/>
      <c r="AK11" s="102"/>
    </row>
    <row r="12" spans="1:37" x14ac:dyDescent="0.2">
      <c r="A12" s="211">
        <v>2</v>
      </c>
      <c r="B12" s="37"/>
      <c r="C12" s="10" t="s">
        <v>35</v>
      </c>
      <c r="D12" s="10"/>
      <c r="E12" s="19"/>
      <c r="F12" s="159" t="s">
        <v>216</v>
      </c>
      <c r="G12" s="303">
        <v>0</v>
      </c>
      <c r="H12" s="277"/>
      <c r="I12" s="487"/>
      <c r="J12" s="487"/>
      <c r="K12" s="487"/>
      <c r="L12" s="487"/>
      <c r="M12" s="487"/>
      <c r="N12" s="487"/>
      <c r="O12" s="487"/>
      <c r="P12" s="487"/>
      <c r="Q12" s="237"/>
      <c r="R12" s="237"/>
      <c r="S12" s="237"/>
      <c r="T12" s="237"/>
      <c r="U12" s="102"/>
      <c r="V12" s="102"/>
      <c r="W12" s="102"/>
      <c r="X12" s="102"/>
      <c r="Y12" s="102"/>
      <c r="Z12" s="102"/>
      <c r="AA12" s="102"/>
      <c r="AB12" s="102"/>
      <c r="AC12" s="102"/>
      <c r="AD12" s="102"/>
      <c r="AE12" s="102"/>
      <c r="AF12" s="102"/>
      <c r="AG12" s="102"/>
      <c r="AH12" s="102"/>
      <c r="AI12" s="102"/>
      <c r="AJ12" s="102"/>
      <c r="AK12" s="102"/>
    </row>
    <row r="13" spans="1:37" x14ac:dyDescent="0.2">
      <c r="A13" s="211">
        <v>3</v>
      </c>
      <c r="B13" s="37"/>
      <c r="C13" s="10" t="s">
        <v>36</v>
      </c>
      <c r="D13" s="10"/>
      <c r="E13" s="19"/>
      <c r="F13" s="159" t="s">
        <v>217</v>
      </c>
      <c r="G13" s="303">
        <v>0</v>
      </c>
      <c r="H13" s="277"/>
      <c r="I13" s="487"/>
      <c r="J13" s="487"/>
      <c r="K13" s="487"/>
      <c r="L13" s="487"/>
      <c r="M13" s="487"/>
      <c r="N13" s="487"/>
      <c r="O13" s="487"/>
      <c r="P13" s="487"/>
      <c r="Q13" s="237"/>
      <c r="R13" s="237"/>
      <c r="S13" s="237"/>
      <c r="T13" s="237"/>
      <c r="U13" s="102"/>
      <c r="V13" s="102"/>
      <c r="W13" s="102"/>
      <c r="X13" s="102"/>
      <c r="Y13" s="102"/>
      <c r="Z13" s="102"/>
      <c r="AA13" s="102"/>
      <c r="AB13" s="102"/>
      <c r="AC13" s="102"/>
      <c r="AD13" s="102"/>
      <c r="AE13" s="102"/>
      <c r="AF13" s="102"/>
      <c r="AG13" s="102"/>
      <c r="AH13" s="102"/>
      <c r="AI13" s="102"/>
      <c r="AJ13" s="102"/>
      <c r="AK13" s="102"/>
    </row>
    <row r="14" spans="1:37" x14ac:dyDescent="0.2">
      <c r="A14" s="211">
        <v>4</v>
      </c>
      <c r="B14" s="37"/>
      <c r="C14" s="10" t="s">
        <v>37</v>
      </c>
      <c r="D14" s="10"/>
      <c r="E14" s="19"/>
      <c r="F14" s="159">
        <v>1800</v>
      </c>
      <c r="G14" s="303">
        <v>0</v>
      </c>
      <c r="H14" s="277"/>
      <c r="I14" s="487"/>
      <c r="J14" s="487"/>
      <c r="K14" s="487"/>
      <c r="L14" s="487"/>
      <c r="M14" s="487"/>
      <c r="N14" s="487"/>
      <c r="O14" s="487"/>
      <c r="P14" s="487"/>
      <c r="Q14" s="237"/>
      <c r="R14" s="237"/>
      <c r="S14" s="237"/>
      <c r="T14" s="237"/>
      <c r="U14" s="102"/>
      <c r="V14" s="102"/>
      <c r="W14" s="102"/>
      <c r="X14" s="102"/>
      <c r="Y14" s="102"/>
      <c r="Z14" s="102"/>
      <c r="AA14" s="102"/>
      <c r="AB14" s="102"/>
      <c r="AC14" s="102"/>
      <c r="AD14" s="102"/>
      <c r="AE14" s="102"/>
      <c r="AF14" s="102"/>
      <c r="AG14" s="102"/>
      <c r="AH14" s="102"/>
      <c r="AI14" s="102"/>
      <c r="AJ14" s="102"/>
      <c r="AK14" s="102"/>
    </row>
    <row r="15" spans="1:37" x14ac:dyDescent="0.2">
      <c r="A15" s="211"/>
      <c r="B15" s="37"/>
      <c r="C15" s="10" t="s">
        <v>38</v>
      </c>
      <c r="D15" s="10"/>
      <c r="E15" s="62"/>
      <c r="F15" s="158"/>
      <c r="G15" s="302"/>
      <c r="H15" s="276"/>
      <c r="I15" s="487"/>
      <c r="J15" s="487"/>
      <c r="K15" s="487"/>
      <c r="L15" s="487"/>
      <c r="M15" s="487"/>
      <c r="N15" s="487"/>
      <c r="O15" s="487"/>
      <c r="P15" s="487"/>
      <c r="Q15" s="237"/>
      <c r="R15" s="237"/>
      <c r="S15" s="237"/>
      <c r="T15" s="237"/>
      <c r="U15" s="102"/>
      <c r="V15" s="102"/>
      <c r="W15" s="102"/>
      <c r="X15" s="102"/>
      <c r="Y15" s="102"/>
      <c r="Z15" s="102"/>
      <c r="AA15" s="102"/>
      <c r="AB15" s="102"/>
      <c r="AC15" s="102"/>
      <c r="AD15" s="102"/>
      <c r="AE15" s="102"/>
      <c r="AF15" s="102"/>
      <c r="AG15" s="102"/>
      <c r="AH15" s="102"/>
      <c r="AI15" s="102"/>
      <c r="AJ15" s="102"/>
      <c r="AK15" s="102"/>
    </row>
    <row r="16" spans="1:37" x14ac:dyDescent="0.2">
      <c r="A16" s="211">
        <v>5</v>
      </c>
      <c r="B16" s="37"/>
      <c r="C16" s="10"/>
      <c r="D16" s="10" t="s">
        <v>39</v>
      </c>
      <c r="E16" s="19"/>
      <c r="F16" s="159" t="s">
        <v>40</v>
      </c>
      <c r="G16" s="303">
        <f>'KIPP Assumptions'!E$45</f>
        <v>302444.28000000003</v>
      </c>
      <c r="H16" s="277"/>
      <c r="I16" s="487"/>
      <c r="J16" s="487"/>
      <c r="K16" s="487"/>
      <c r="L16" s="487"/>
      <c r="M16" s="487"/>
      <c r="N16" s="487"/>
      <c r="O16" s="487"/>
      <c r="P16" s="487"/>
      <c r="Q16" s="237"/>
      <c r="R16" s="237"/>
      <c r="S16" s="237"/>
      <c r="T16" s="237"/>
      <c r="U16" s="102"/>
      <c r="V16" s="102"/>
      <c r="W16" s="102"/>
      <c r="X16" s="102"/>
      <c r="Y16" s="102"/>
      <c r="Z16" s="102"/>
      <c r="AA16" s="102"/>
      <c r="AB16" s="102"/>
      <c r="AC16" s="102"/>
      <c r="AD16" s="102"/>
      <c r="AE16" s="102"/>
      <c r="AF16" s="102"/>
      <c r="AG16" s="102"/>
      <c r="AH16" s="102"/>
      <c r="AI16" s="102"/>
      <c r="AJ16" s="102"/>
      <c r="AK16" s="102"/>
    </row>
    <row r="17" spans="1:37" x14ac:dyDescent="0.2">
      <c r="A17" s="211">
        <v>6</v>
      </c>
      <c r="B17" s="37"/>
      <c r="C17" s="10"/>
      <c r="D17" s="10" t="s">
        <v>41</v>
      </c>
      <c r="E17" s="19"/>
      <c r="F17" s="159" t="s">
        <v>42</v>
      </c>
      <c r="G17" s="303">
        <v>0</v>
      </c>
      <c r="H17" s="277"/>
      <c r="I17" s="487"/>
      <c r="J17" s="487"/>
      <c r="K17" s="487"/>
      <c r="L17" s="487"/>
      <c r="M17" s="487"/>
      <c r="N17" s="487"/>
      <c r="O17" s="487"/>
      <c r="P17" s="487"/>
      <c r="Q17" s="237"/>
      <c r="R17" s="237"/>
      <c r="S17" s="237"/>
      <c r="T17" s="237"/>
      <c r="U17" s="102"/>
      <c r="V17" s="102"/>
      <c r="W17" s="102"/>
      <c r="X17" s="102"/>
      <c r="Y17" s="102"/>
      <c r="Z17" s="102"/>
      <c r="AA17" s="102"/>
      <c r="AB17" s="102"/>
      <c r="AC17" s="102"/>
      <c r="AD17" s="102"/>
      <c r="AE17" s="102"/>
      <c r="AF17" s="102"/>
      <c r="AG17" s="102"/>
      <c r="AH17" s="102"/>
      <c r="AI17" s="102"/>
      <c r="AJ17" s="102"/>
      <c r="AK17" s="102"/>
    </row>
    <row r="18" spans="1:37" x14ac:dyDescent="0.2">
      <c r="A18" s="213">
        <v>7</v>
      </c>
      <c r="B18" s="43"/>
      <c r="C18" s="44"/>
      <c r="D18" s="44" t="s">
        <v>255</v>
      </c>
      <c r="E18" s="23"/>
      <c r="F18" s="162" t="s">
        <v>218</v>
      </c>
      <c r="G18" s="304">
        <v>0</v>
      </c>
      <c r="H18" s="278"/>
      <c r="I18" s="487"/>
      <c r="J18" s="487"/>
      <c r="K18" s="487"/>
      <c r="L18" s="487"/>
      <c r="M18" s="487"/>
      <c r="N18" s="487"/>
      <c r="O18" s="487"/>
      <c r="P18" s="487"/>
      <c r="Q18" s="237"/>
      <c r="R18" s="237"/>
      <c r="S18" s="237"/>
      <c r="T18" s="237"/>
      <c r="U18" s="102"/>
      <c r="V18" s="102"/>
      <c r="W18" s="102"/>
      <c r="X18" s="102"/>
      <c r="Y18" s="102"/>
      <c r="Z18" s="102"/>
      <c r="AA18" s="102"/>
      <c r="AB18" s="102"/>
      <c r="AC18" s="102"/>
      <c r="AD18" s="102"/>
      <c r="AE18" s="102"/>
      <c r="AF18" s="102"/>
      <c r="AG18" s="102"/>
      <c r="AH18" s="102"/>
      <c r="AI18" s="102"/>
      <c r="AJ18" s="102"/>
      <c r="AK18" s="102"/>
    </row>
    <row r="19" spans="1:37" s="95" customFormat="1" x14ac:dyDescent="0.2">
      <c r="A19" s="215">
        <v>8</v>
      </c>
      <c r="B19" s="92"/>
      <c r="C19" s="83" t="s">
        <v>17</v>
      </c>
      <c r="D19" s="83"/>
      <c r="E19" s="93"/>
      <c r="F19" s="161"/>
      <c r="G19" s="305"/>
      <c r="H19" s="272"/>
      <c r="I19" s="488"/>
      <c r="J19" s="488"/>
      <c r="K19" s="488"/>
      <c r="L19" s="488"/>
      <c r="M19" s="488"/>
      <c r="N19" s="488"/>
      <c r="O19" s="488"/>
      <c r="P19" s="488"/>
      <c r="Q19" s="242"/>
      <c r="R19" s="242"/>
      <c r="S19" s="242"/>
      <c r="T19" s="237"/>
      <c r="U19" s="241"/>
      <c r="V19" s="241"/>
      <c r="W19" s="241"/>
      <c r="X19" s="241"/>
      <c r="Y19" s="241"/>
      <c r="Z19" s="241"/>
      <c r="AA19" s="241"/>
      <c r="AB19" s="241"/>
      <c r="AC19" s="241"/>
      <c r="AD19" s="241"/>
      <c r="AE19" s="241"/>
      <c r="AF19" s="241"/>
      <c r="AG19" s="241"/>
      <c r="AH19" s="241"/>
      <c r="AI19" s="241"/>
      <c r="AJ19" s="241"/>
      <c r="AK19" s="241"/>
    </row>
    <row r="20" spans="1:37" x14ac:dyDescent="0.2">
      <c r="A20" s="213">
        <v>9</v>
      </c>
      <c r="B20" s="43"/>
      <c r="C20" s="44"/>
      <c r="D20" s="44"/>
      <c r="E20" s="23"/>
      <c r="F20" s="162"/>
      <c r="G20" s="304"/>
      <c r="H20" s="278"/>
      <c r="I20" s="487"/>
      <c r="J20" s="487"/>
      <c r="K20" s="487"/>
      <c r="L20" s="487"/>
      <c r="M20" s="487"/>
      <c r="N20" s="487"/>
      <c r="O20" s="487"/>
      <c r="P20" s="487"/>
      <c r="Q20" s="237"/>
      <c r="R20" s="237"/>
      <c r="S20" s="237"/>
      <c r="T20" s="237"/>
      <c r="U20" s="102"/>
      <c r="V20" s="102"/>
      <c r="W20" s="102"/>
      <c r="X20" s="102"/>
      <c r="Y20" s="102"/>
      <c r="Z20" s="102"/>
      <c r="AA20" s="102"/>
      <c r="AB20" s="102"/>
      <c r="AC20" s="102"/>
      <c r="AD20" s="102"/>
      <c r="AE20" s="102"/>
      <c r="AF20" s="102"/>
      <c r="AG20" s="102"/>
      <c r="AH20" s="102"/>
      <c r="AI20" s="102"/>
      <c r="AJ20" s="102"/>
      <c r="AK20" s="102"/>
    </row>
    <row r="21" spans="1:37" x14ac:dyDescent="0.2">
      <c r="A21" s="216">
        <v>10</v>
      </c>
      <c r="B21" s="48" t="s">
        <v>269</v>
      </c>
      <c r="C21" s="7"/>
      <c r="D21" s="49"/>
      <c r="E21" s="50"/>
      <c r="F21" s="163"/>
      <c r="G21" s="306">
        <f>SUM(G11:G20)</f>
        <v>5472057.6025562501</v>
      </c>
      <c r="H21" s="279"/>
      <c r="I21" s="487"/>
      <c r="J21" s="487"/>
      <c r="K21" s="487"/>
      <c r="L21" s="487"/>
      <c r="M21" s="487"/>
      <c r="N21" s="487"/>
      <c r="O21" s="487"/>
      <c r="P21" s="487"/>
      <c r="Q21" s="237"/>
      <c r="R21" s="237"/>
      <c r="S21" s="237"/>
      <c r="T21" s="237"/>
      <c r="U21" s="102"/>
      <c r="V21" s="102"/>
      <c r="W21" s="102"/>
      <c r="X21" s="102"/>
      <c r="Y21" s="102"/>
      <c r="Z21" s="102"/>
      <c r="AA21" s="102"/>
      <c r="AB21" s="102"/>
      <c r="AC21" s="102"/>
      <c r="AD21" s="102"/>
      <c r="AE21" s="102"/>
      <c r="AF21" s="102"/>
      <c r="AG21" s="102"/>
      <c r="AH21" s="102"/>
      <c r="AI21" s="102"/>
      <c r="AJ21" s="102"/>
      <c r="AK21" s="102"/>
    </row>
    <row r="22" spans="1:37" x14ac:dyDescent="0.2">
      <c r="A22" s="30"/>
      <c r="B22" s="36"/>
      <c r="C22" s="13"/>
      <c r="D22" s="13"/>
      <c r="E22" s="72"/>
      <c r="F22" s="157"/>
      <c r="G22" s="301"/>
      <c r="H22" s="275"/>
      <c r="I22" s="487"/>
      <c r="J22" s="487"/>
      <c r="K22" s="487"/>
      <c r="L22" s="487"/>
      <c r="M22" s="487"/>
      <c r="N22" s="487"/>
      <c r="O22" s="487"/>
      <c r="P22" s="487"/>
      <c r="Q22" s="237"/>
      <c r="R22" s="237"/>
      <c r="S22" s="237"/>
      <c r="T22" s="237"/>
      <c r="U22" s="102"/>
      <c r="V22" s="102"/>
      <c r="W22" s="102"/>
      <c r="X22" s="102"/>
      <c r="Y22" s="102"/>
      <c r="Z22" s="102"/>
      <c r="AA22" s="102"/>
      <c r="AB22" s="102"/>
      <c r="AC22" s="102"/>
      <c r="AD22" s="102"/>
      <c r="AE22" s="102"/>
      <c r="AF22" s="102"/>
      <c r="AG22" s="102"/>
      <c r="AH22" s="102"/>
      <c r="AI22" s="102"/>
      <c r="AJ22" s="102"/>
      <c r="AK22" s="102"/>
    </row>
    <row r="23" spans="1:37" x14ac:dyDescent="0.2">
      <c r="A23" s="31"/>
      <c r="B23" s="26" t="s">
        <v>43</v>
      </c>
      <c r="C23" s="12"/>
      <c r="D23" s="12"/>
      <c r="E23" s="62"/>
      <c r="F23" s="158"/>
      <c r="G23" s="302"/>
      <c r="H23" s="276"/>
      <c r="I23" s="487"/>
      <c r="J23" s="487"/>
      <c r="K23" s="487"/>
      <c r="L23" s="487"/>
      <c r="M23" s="487"/>
      <c r="N23" s="487"/>
      <c r="O23" s="487"/>
      <c r="P23" s="487"/>
      <c r="Q23" s="237"/>
      <c r="R23" s="237"/>
      <c r="S23" s="237"/>
      <c r="T23" s="237"/>
      <c r="U23" s="102"/>
      <c r="V23" s="102"/>
      <c r="W23" s="102"/>
      <c r="X23" s="102"/>
      <c r="Y23" s="102"/>
      <c r="Z23" s="102"/>
      <c r="AA23" s="102"/>
      <c r="AB23" s="102"/>
      <c r="AC23" s="102"/>
      <c r="AD23" s="102"/>
      <c r="AE23" s="102"/>
      <c r="AF23" s="102"/>
      <c r="AG23" s="102"/>
      <c r="AH23" s="102"/>
      <c r="AI23" s="102"/>
      <c r="AJ23" s="102"/>
      <c r="AK23" s="102"/>
    </row>
    <row r="24" spans="1:37" x14ac:dyDescent="0.2">
      <c r="A24" s="32"/>
      <c r="B24" s="37"/>
      <c r="C24" s="10" t="s">
        <v>44</v>
      </c>
      <c r="D24" s="10"/>
      <c r="E24" s="62"/>
      <c r="F24" s="158"/>
      <c r="G24" s="302"/>
      <c r="H24" s="276"/>
      <c r="I24" s="487"/>
      <c r="J24" s="487"/>
      <c r="K24" s="487"/>
      <c r="L24" s="487"/>
      <c r="M24" s="487"/>
      <c r="N24" s="487"/>
      <c r="O24" s="487"/>
      <c r="P24" s="487"/>
      <c r="Q24" s="237"/>
      <c r="R24" s="237"/>
      <c r="S24" s="237"/>
      <c r="T24" s="237"/>
      <c r="U24" s="102"/>
      <c r="V24" s="102"/>
      <c r="W24" s="102"/>
      <c r="X24" s="102"/>
      <c r="Y24" s="102"/>
      <c r="Z24" s="102"/>
      <c r="AA24" s="102"/>
      <c r="AB24" s="102"/>
      <c r="AC24" s="102"/>
      <c r="AD24" s="102"/>
      <c r="AE24" s="102"/>
      <c r="AF24" s="102"/>
      <c r="AG24" s="102"/>
      <c r="AH24" s="102"/>
      <c r="AI24" s="102"/>
      <c r="AJ24" s="102"/>
      <c r="AK24" s="102"/>
    </row>
    <row r="25" spans="1:37" x14ac:dyDescent="0.2">
      <c r="A25" s="211">
        <v>11</v>
      </c>
      <c r="B25" s="37"/>
      <c r="C25" s="10"/>
      <c r="D25" s="10" t="s">
        <v>294</v>
      </c>
      <c r="E25" s="19"/>
      <c r="F25" s="159" t="s">
        <v>20</v>
      </c>
      <c r="G25" s="303">
        <f>+SUMPRODUCT('KIPP Assumptions'!E$7:E$14,'KIPP Assumptions'!E$21:E$28)+'KIPP Assumptions'!E$6*SUM('KIPP Assumptions'!E$18,'KIPP Assumptions'!E$20)</f>
        <v>2108452.2379052811</v>
      </c>
      <c r="H25" s="277"/>
      <c r="I25" s="487"/>
      <c r="J25" s="487"/>
      <c r="K25" s="487"/>
      <c r="L25" s="487"/>
      <c r="M25" s="487"/>
      <c r="N25" s="487"/>
      <c r="O25" s="487"/>
      <c r="P25" s="487"/>
      <c r="Q25" s="237"/>
      <c r="R25" s="237"/>
      <c r="S25" s="237"/>
      <c r="T25" s="237"/>
      <c r="U25" s="102"/>
      <c r="V25" s="102"/>
      <c r="W25" s="102"/>
      <c r="X25" s="102"/>
      <c r="Y25" s="102"/>
      <c r="Z25" s="102"/>
      <c r="AA25" s="102"/>
      <c r="AB25" s="102"/>
      <c r="AC25" s="102"/>
      <c r="AD25" s="102"/>
      <c r="AE25" s="102"/>
      <c r="AF25" s="102"/>
      <c r="AG25" s="102"/>
      <c r="AH25" s="102"/>
      <c r="AI25" s="102"/>
      <c r="AJ25" s="102"/>
      <c r="AK25" s="102"/>
    </row>
    <row r="26" spans="1:37" x14ac:dyDescent="0.2">
      <c r="A26" s="211">
        <v>12</v>
      </c>
      <c r="B26" s="37"/>
      <c r="C26" s="10"/>
      <c r="D26" s="10" t="s">
        <v>45</v>
      </c>
      <c r="E26" s="19"/>
      <c r="F26" s="159" t="s">
        <v>46</v>
      </c>
      <c r="G26" s="303">
        <f>+'KIPP Assumptions'!E$41</f>
        <v>53060.4</v>
      </c>
      <c r="H26" s="277"/>
      <c r="I26" s="487"/>
      <c r="J26" s="487"/>
      <c r="K26" s="487"/>
      <c r="L26" s="487"/>
      <c r="M26" s="487"/>
      <c r="N26" s="487"/>
      <c r="O26" s="487"/>
      <c r="P26" s="487"/>
      <c r="Q26" s="237"/>
      <c r="R26" s="237"/>
      <c r="S26" s="237"/>
      <c r="T26" s="237"/>
      <c r="U26" s="102"/>
      <c r="V26" s="102"/>
      <c r="W26" s="102"/>
      <c r="X26" s="102"/>
      <c r="Y26" s="102"/>
      <c r="Z26" s="102"/>
      <c r="AA26" s="102"/>
      <c r="AB26" s="102"/>
      <c r="AC26" s="102"/>
      <c r="AD26" s="102"/>
      <c r="AE26" s="102"/>
      <c r="AF26" s="102"/>
      <c r="AG26" s="102"/>
      <c r="AH26" s="102"/>
      <c r="AI26" s="102"/>
      <c r="AJ26" s="102"/>
      <c r="AK26" s="102"/>
    </row>
    <row r="27" spans="1:37" x14ac:dyDescent="0.2">
      <c r="A27" s="211"/>
      <c r="B27" s="37"/>
      <c r="C27" s="10" t="s">
        <v>47</v>
      </c>
      <c r="D27" s="10"/>
      <c r="E27" s="62"/>
      <c r="F27" s="158"/>
      <c r="G27" s="302"/>
      <c r="H27" s="276"/>
      <c r="I27" s="487"/>
      <c r="J27" s="487"/>
      <c r="K27" s="487"/>
      <c r="L27" s="487"/>
      <c r="M27" s="487"/>
      <c r="N27" s="487"/>
      <c r="O27" s="487"/>
      <c r="P27" s="487"/>
      <c r="Q27" s="237"/>
      <c r="R27" s="237"/>
      <c r="S27" s="237"/>
      <c r="T27" s="237"/>
      <c r="U27" s="102"/>
      <c r="V27" s="102"/>
      <c r="W27" s="102"/>
      <c r="X27" s="102"/>
      <c r="Y27" s="102"/>
      <c r="Z27" s="102"/>
      <c r="AA27" s="102"/>
      <c r="AB27" s="102"/>
      <c r="AC27" s="102"/>
      <c r="AD27" s="102"/>
      <c r="AE27" s="102"/>
      <c r="AF27" s="102"/>
      <c r="AG27" s="102"/>
      <c r="AH27" s="102"/>
      <c r="AI27" s="102"/>
      <c r="AJ27" s="102"/>
      <c r="AK27" s="102"/>
    </row>
    <row r="28" spans="1:37" x14ac:dyDescent="0.2">
      <c r="A28" s="211">
        <v>13</v>
      </c>
      <c r="B28" s="37"/>
      <c r="C28" s="10"/>
      <c r="D28" s="10" t="s">
        <v>48</v>
      </c>
      <c r="E28" s="19"/>
      <c r="F28" s="159" t="s">
        <v>49</v>
      </c>
      <c r="G28" s="303"/>
      <c r="H28" s="277"/>
      <c r="I28" s="487"/>
      <c r="J28" s="487"/>
      <c r="K28" s="487"/>
      <c r="L28" s="487"/>
      <c r="M28" s="487"/>
      <c r="N28" s="487"/>
      <c r="O28" s="487"/>
      <c r="P28" s="487"/>
      <c r="Q28" s="237"/>
      <c r="R28" s="237"/>
      <c r="S28" s="237"/>
      <c r="T28" s="237"/>
      <c r="U28" s="102"/>
      <c r="V28" s="102"/>
      <c r="W28" s="102"/>
      <c r="X28" s="102"/>
      <c r="Y28" s="102"/>
      <c r="Z28" s="102"/>
      <c r="AA28" s="102"/>
      <c r="AB28" s="102"/>
      <c r="AC28" s="102"/>
      <c r="AD28" s="102"/>
      <c r="AE28" s="102"/>
      <c r="AF28" s="102"/>
      <c r="AG28" s="102"/>
      <c r="AH28" s="102"/>
      <c r="AI28" s="102"/>
      <c r="AJ28" s="102"/>
      <c r="AK28" s="102"/>
    </row>
    <row r="29" spans="1:37" x14ac:dyDescent="0.2">
      <c r="A29" s="211">
        <v>14</v>
      </c>
      <c r="B29" s="37"/>
      <c r="C29" s="10"/>
      <c r="D29" s="10" t="s">
        <v>50</v>
      </c>
      <c r="E29" s="19"/>
      <c r="F29" s="159" t="s">
        <v>51</v>
      </c>
      <c r="G29" s="303"/>
      <c r="H29" s="277"/>
      <c r="I29" s="487"/>
      <c r="J29" s="487"/>
      <c r="K29" s="487"/>
      <c r="L29" s="487"/>
      <c r="M29" s="487"/>
      <c r="N29" s="487"/>
      <c r="O29" s="487"/>
      <c r="P29" s="487"/>
      <c r="Q29" s="237"/>
      <c r="R29" s="237"/>
      <c r="S29" s="237"/>
      <c r="T29" s="237"/>
      <c r="U29" s="102"/>
      <c r="V29" s="102"/>
      <c r="W29" s="102"/>
      <c r="X29" s="102"/>
      <c r="Y29" s="102"/>
      <c r="Z29" s="102"/>
      <c r="AA29" s="102"/>
      <c r="AB29" s="102"/>
      <c r="AC29" s="102"/>
      <c r="AD29" s="102"/>
      <c r="AE29" s="102"/>
      <c r="AF29" s="102"/>
      <c r="AG29" s="102"/>
      <c r="AH29" s="102"/>
      <c r="AI29" s="102"/>
      <c r="AJ29" s="102"/>
      <c r="AK29" s="102"/>
    </row>
    <row r="30" spans="1:37" x14ac:dyDescent="0.2">
      <c r="A30" s="213">
        <v>15</v>
      </c>
      <c r="B30" s="43"/>
      <c r="C30" s="44"/>
      <c r="D30" s="44" t="s">
        <v>52</v>
      </c>
      <c r="E30" s="23"/>
      <c r="F30" s="162" t="s">
        <v>53</v>
      </c>
      <c r="G30" s="304">
        <f>+'KIPP Assumptions'!E$39+'KIPP Assumptions'!E$40</f>
        <v>97631.135999999999</v>
      </c>
      <c r="H30" s="278"/>
      <c r="I30" s="487"/>
      <c r="J30" s="487"/>
      <c r="K30" s="487"/>
      <c r="L30" s="487"/>
      <c r="M30" s="487"/>
      <c r="N30" s="487"/>
      <c r="O30" s="487"/>
      <c r="P30" s="487"/>
      <c r="Q30" s="237"/>
      <c r="R30" s="237"/>
      <c r="S30" s="237"/>
      <c r="T30" s="237"/>
      <c r="U30" s="102"/>
      <c r="V30" s="102"/>
      <c r="W30" s="102"/>
      <c r="X30" s="102"/>
      <c r="Y30" s="102"/>
      <c r="Z30" s="102"/>
      <c r="AA30" s="102"/>
      <c r="AB30" s="102"/>
      <c r="AC30" s="102"/>
      <c r="AD30" s="102"/>
      <c r="AE30" s="102"/>
      <c r="AF30" s="102"/>
      <c r="AG30" s="102"/>
      <c r="AH30" s="102"/>
      <c r="AI30" s="102"/>
      <c r="AJ30" s="102"/>
      <c r="AK30" s="102"/>
    </row>
    <row r="31" spans="1:37" s="95" customFormat="1" x14ac:dyDescent="0.2">
      <c r="A31" s="215">
        <v>16</v>
      </c>
      <c r="B31" s="92"/>
      <c r="C31" s="83" t="s">
        <v>17</v>
      </c>
      <c r="D31" s="83"/>
      <c r="E31" s="93"/>
      <c r="F31" s="161"/>
      <c r="G31" s="305"/>
      <c r="H31" s="272"/>
      <c r="I31" s="488"/>
      <c r="J31" s="488"/>
      <c r="K31" s="488"/>
      <c r="L31" s="488"/>
      <c r="M31" s="488"/>
      <c r="N31" s="488"/>
      <c r="O31" s="488"/>
      <c r="P31" s="488"/>
      <c r="Q31" s="242"/>
      <c r="R31" s="242"/>
      <c r="S31" s="242"/>
      <c r="T31" s="237"/>
      <c r="U31" s="241"/>
      <c r="V31" s="241"/>
      <c r="W31" s="241"/>
      <c r="X31" s="241"/>
      <c r="Y31" s="241"/>
      <c r="Z31" s="241"/>
      <c r="AA31" s="241"/>
      <c r="AB31" s="241"/>
      <c r="AC31" s="241"/>
      <c r="AD31" s="241"/>
      <c r="AE31" s="241"/>
      <c r="AF31" s="241"/>
      <c r="AG31" s="241"/>
      <c r="AH31" s="241"/>
      <c r="AI31" s="241"/>
      <c r="AJ31" s="241"/>
      <c r="AK31" s="241"/>
    </row>
    <row r="32" spans="1:37" x14ac:dyDescent="0.2">
      <c r="A32" s="213">
        <v>17</v>
      </c>
      <c r="B32" s="43"/>
      <c r="C32" s="44"/>
      <c r="D32" s="44"/>
      <c r="E32" s="23"/>
      <c r="F32" s="162"/>
      <c r="G32" s="304"/>
      <c r="H32" s="278"/>
      <c r="I32" s="487"/>
      <c r="J32" s="487"/>
      <c r="K32" s="487"/>
      <c r="L32" s="487"/>
      <c r="M32" s="487"/>
      <c r="N32" s="487"/>
      <c r="O32" s="487"/>
      <c r="P32" s="487"/>
      <c r="Q32" s="237"/>
      <c r="R32" s="237"/>
      <c r="S32" s="237"/>
      <c r="T32" s="237"/>
      <c r="U32" s="102"/>
      <c r="V32" s="102"/>
      <c r="W32" s="102"/>
      <c r="X32" s="102"/>
      <c r="Y32" s="102"/>
      <c r="Z32" s="102"/>
      <c r="AA32" s="102"/>
      <c r="AB32" s="102"/>
      <c r="AC32" s="102"/>
      <c r="AD32" s="102"/>
      <c r="AE32" s="102"/>
      <c r="AF32" s="102"/>
      <c r="AG32" s="102"/>
      <c r="AH32" s="102"/>
      <c r="AI32" s="102"/>
      <c r="AJ32" s="102"/>
      <c r="AK32" s="102"/>
    </row>
    <row r="33" spans="1:37" ht="15" thickBot="1" x14ac:dyDescent="0.25">
      <c r="A33" s="247">
        <v>18</v>
      </c>
      <c r="B33" s="248" t="s">
        <v>270</v>
      </c>
      <c r="C33" s="249"/>
      <c r="D33" s="249"/>
      <c r="E33" s="250"/>
      <c r="F33" s="251"/>
      <c r="G33" s="307">
        <f>SUM(G24:G32)</f>
        <v>2259143.773905281</v>
      </c>
      <c r="H33" s="280"/>
      <c r="I33" s="487"/>
      <c r="J33" s="487"/>
      <c r="K33" s="487"/>
      <c r="L33" s="487"/>
      <c r="M33" s="487"/>
      <c r="N33" s="487"/>
      <c r="O33" s="487"/>
      <c r="P33" s="487"/>
      <c r="Q33" s="237"/>
      <c r="R33" s="237"/>
      <c r="S33" s="237"/>
      <c r="T33" s="237"/>
      <c r="U33" s="102"/>
      <c r="V33" s="102"/>
      <c r="W33" s="102"/>
      <c r="X33" s="102"/>
      <c r="Y33" s="102"/>
      <c r="Z33" s="102"/>
      <c r="AA33" s="102"/>
      <c r="AB33" s="102"/>
      <c r="AC33" s="102"/>
      <c r="AD33" s="102"/>
      <c r="AE33" s="102"/>
      <c r="AF33" s="102"/>
      <c r="AG33" s="102"/>
      <c r="AH33" s="102"/>
      <c r="AI33" s="102"/>
      <c r="AJ33" s="102"/>
      <c r="AK33" s="102"/>
    </row>
    <row r="34" spans="1:37" s="102" customFormat="1" ht="15" thickTop="1" x14ac:dyDescent="0.2">
      <c r="A34" s="101"/>
      <c r="E34" s="103"/>
      <c r="F34" s="103"/>
      <c r="G34" s="264"/>
      <c r="H34" s="281"/>
    </row>
    <row r="35" spans="1:37" s="102" customFormat="1" x14ac:dyDescent="0.2">
      <c r="A35" s="101"/>
      <c r="E35" s="103"/>
      <c r="F35" s="103"/>
      <c r="G35" s="264"/>
      <c r="H35" s="281"/>
    </row>
    <row r="36" spans="1:37" s="102" customFormat="1" x14ac:dyDescent="0.2">
      <c r="A36" s="101"/>
      <c r="E36" s="103"/>
      <c r="F36" s="103"/>
      <c r="G36" s="264"/>
      <c r="H36" s="281"/>
    </row>
    <row r="37" spans="1:37" s="102" customFormat="1" x14ac:dyDescent="0.2">
      <c r="A37" s="101"/>
      <c r="E37" s="103"/>
      <c r="F37" s="103"/>
      <c r="G37" s="264"/>
      <c r="H37" s="281"/>
    </row>
    <row r="38" spans="1:37" s="102" customFormat="1" ht="42" customHeight="1" x14ac:dyDescent="0.2">
      <c r="A38" s="654" t="s">
        <v>10</v>
      </c>
      <c r="B38" s="654"/>
      <c r="C38" s="654"/>
      <c r="D38" s="654"/>
      <c r="E38" s="654"/>
      <c r="F38" s="654"/>
      <c r="G38" s="654"/>
      <c r="H38" s="654"/>
      <c r="I38" s="511"/>
      <c r="J38" s="511"/>
      <c r="K38" s="511"/>
      <c r="L38" s="511"/>
    </row>
    <row r="39" spans="1:37" s="102" customFormat="1" x14ac:dyDescent="0.2">
      <c r="A39" s="101"/>
      <c r="E39" s="103"/>
      <c r="F39" s="103"/>
      <c r="G39" s="264"/>
      <c r="H39" s="281"/>
    </row>
    <row r="40" spans="1:37" s="102" customFormat="1" ht="15" thickBot="1" x14ac:dyDescent="0.25">
      <c r="A40" s="101"/>
      <c r="E40" s="103"/>
      <c r="F40" s="103"/>
      <c r="G40" s="264"/>
      <c r="H40" s="281"/>
    </row>
    <row r="41" spans="1:37" ht="15" thickTop="1" x14ac:dyDescent="0.2">
      <c r="A41" s="252"/>
      <c r="B41" s="253" t="s">
        <v>54</v>
      </c>
      <c r="C41" s="254"/>
      <c r="D41" s="254"/>
      <c r="E41" s="255"/>
      <c r="F41" s="256"/>
      <c r="G41" s="308"/>
      <c r="H41" s="297"/>
      <c r="I41" s="487"/>
      <c r="J41" s="487"/>
      <c r="K41" s="487"/>
      <c r="L41" s="487"/>
      <c r="M41" s="487"/>
      <c r="N41" s="487"/>
      <c r="O41" s="487"/>
      <c r="P41" s="487"/>
      <c r="Q41" s="237"/>
      <c r="R41" s="237"/>
      <c r="S41" s="237"/>
      <c r="T41" s="237"/>
      <c r="U41" s="102"/>
      <c r="V41" s="102"/>
      <c r="W41" s="102"/>
      <c r="X41" s="102"/>
      <c r="Y41" s="102"/>
    </row>
    <row r="42" spans="1:37" x14ac:dyDescent="0.2">
      <c r="A42" s="211"/>
      <c r="B42" s="37"/>
      <c r="C42" s="10" t="s">
        <v>256</v>
      </c>
      <c r="D42" s="10"/>
      <c r="E42" s="62"/>
      <c r="F42" s="158"/>
      <c r="G42" s="302"/>
      <c r="H42" s="267"/>
      <c r="I42" s="487"/>
      <c r="J42" s="487"/>
      <c r="K42" s="487"/>
      <c r="L42" s="487"/>
      <c r="M42" s="487"/>
      <c r="N42" s="487"/>
      <c r="O42" s="487"/>
      <c r="P42" s="487"/>
      <c r="Q42" s="237"/>
      <c r="R42" s="237"/>
      <c r="S42" s="237"/>
      <c r="T42" s="237"/>
      <c r="U42" s="102"/>
      <c r="V42" s="102"/>
      <c r="W42" s="102"/>
      <c r="X42" s="102"/>
      <c r="Y42" s="102"/>
    </row>
    <row r="43" spans="1:37" x14ac:dyDescent="0.2">
      <c r="A43" s="211">
        <v>19</v>
      </c>
      <c r="B43" s="37"/>
      <c r="C43" s="10"/>
      <c r="D43" s="10" t="s">
        <v>55</v>
      </c>
      <c r="E43" s="19"/>
      <c r="F43" s="159" t="s">
        <v>56</v>
      </c>
      <c r="G43" s="303"/>
      <c r="H43" s="268"/>
      <c r="I43" s="487"/>
      <c r="J43" s="487"/>
      <c r="K43" s="487"/>
      <c r="L43" s="487"/>
      <c r="M43" s="487"/>
      <c r="N43" s="487"/>
      <c r="O43" s="487"/>
      <c r="P43" s="487"/>
      <c r="Q43" s="237"/>
      <c r="R43" s="237"/>
      <c r="S43" s="237"/>
      <c r="T43" s="237"/>
      <c r="U43" s="102"/>
      <c r="V43" s="102"/>
      <c r="W43" s="102"/>
      <c r="X43" s="102"/>
      <c r="Y43" s="102"/>
    </row>
    <row r="44" spans="1:37" x14ac:dyDescent="0.2">
      <c r="A44" s="211"/>
      <c r="B44" s="37"/>
      <c r="C44" s="10" t="s">
        <v>257</v>
      </c>
      <c r="D44" s="10"/>
      <c r="E44" s="62"/>
      <c r="F44" s="158"/>
      <c r="G44" s="302"/>
      <c r="H44" s="267"/>
      <c r="I44" s="487"/>
      <c r="J44" s="487"/>
      <c r="K44" s="487"/>
      <c r="L44" s="487"/>
      <c r="M44" s="487"/>
      <c r="N44" s="487"/>
      <c r="O44" s="487"/>
      <c r="P44" s="487"/>
      <c r="Q44" s="237"/>
      <c r="R44" s="237"/>
      <c r="S44" s="237"/>
      <c r="T44" s="237"/>
      <c r="U44" s="102"/>
      <c r="V44" s="102"/>
      <c r="W44" s="102"/>
      <c r="X44" s="102"/>
      <c r="Y44" s="102"/>
    </row>
    <row r="45" spans="1:37" x14ac:dyDescent="0.2">
      <c r="A45" s="211">
        <v>20</v>
      </c>
      <c r="B45" s="37"/>
      <c r="C45" s="10"/>
      <c r="D45" s="10" t="s">
        <v>57</v>
      </c>
      <c r="E45" s="19"/>
      <c r="F45" s="159" t="s">
        <v>58</v>
      </c>
      <c r="G45" s="303"/>
      <c r="H45" s="268"/>
      <c r="I45" s="487"/>
      <c r="J45" s="487"/>
      <c r="K45" s="487"/>
      <c r="L45" s="487"/>
      <c r="M45" s="487"/>
      <c r="N45" s="487"/>
      <c r="O45" s="487"/>
      <c r="P45" s="487"/>
      <c r="Q45" s="237"/>
      <c r="R45" s="237"/>
      <c r="S45" s="237"/>
      <c r="T45" s="237"/>
      <c r="U45" s="102"/>
      <c r="V45" s="102"/>
      <c r="W45" s="102"/>
      <c r="X45" s="102"/>
      <c r="Y45" s="102"/>
    </row>
    <row r="46" spans="1:37" x14ac:dyDescent="0.2">
      <c r="A46" s="211"/>
      <c r="B46" s="37"/>
      <c r="C46" s="10" t="s">
        <v>21</v>
      </c>
      <c r="D46" s="10"/>
      <c r="E46" s="62"/>
      <c r="F46" s="158"/>
      <c r="G46" s="302"/>
      <c r="H46" s="267"/>
      <c r="I46" s="487"/>
      <c r="J46" s="487"/>
      <c r="K46" s="487"/>
      <c r="L46" s="487"/>
      <c r="M46" s="487"/>
      <c r="N46" s="487"/>
      <c r="O46" s="487"/>
      <c r="P46" s="487"/>
      <c r="Q46" s="237"/>
      <c r="R46" s="237"/>
      <c r="S46" s="237"/>
      <c r="T46" s="237"/>
      <c r="U46" s="102"/>
      <c r="V46" s="102"/>
      <c r="W46" s="102"/>
      <c r="X46" s="102"/>
      <c r="Y46" s="102"/>
    </row>
    <row r="47" spans="1:37" x14ac:dyDescent="0.2">
      <c r="A47" s="211">
        <v>21</v>
      </c>
      <c r="B47" s="37"/>
      <c r="C47" s="10"/>
      <c r="D47" s="10" t="s">
        <v>59</v>
      </c>
      <c r="E47" s="19"/>
      <c r="F47" s="159" t="s">
        <v>60</v>
      </c>
      <c r="G47" s="303">
        <f>+SUM('KIPP Assumptions'!E$57:E$60)</f>
        <v>410800</v>
      </c>
      <c r="H47" s="268"/>
      <c r="I47" s="487"/>
      <c r="J47" s="487"/>
      <c r="K47" s="487"/>
      <c r="L47" s="487"/>
      <c r="M47" s="487"/>
      <c r="N47" s="487"/>
      <c r="O47" s="487"/>
      <c r="P47" s="487"/>
      <c r="Q47" s="237"/>
      <c r="R47" s="237"/>
      <c r="S47" s="237"/>
      <c r="T47" s="237"/>
      <c r="U47" s="102"/>
      <c r="V47" s="102"/>
      <c r="W47" s="102"/>
      <c r="X47" s="102"/>
      <c r="Y47" s="102"/>
    </row>
    <row r="48" spans="1:37" x14ac:dyDescent="0.2">
      <c r="A48" s="211"/>
      <c r="B48" s="37"/>
      <c r="C48" s="10"/>
      <c r="D48" s="10" t="s">
        <v>61</v>
      </c>
      <c r="E48" s="62"/>
      <c r="F48" s="158"/>
      <c r="G48" s="302"/>
      <c r="H48" s="267"/>
      <c r="I48" s="487"/>
      <c r="J48" s="487"/>
      <c r="K48" s="487"/>
      <c r="L48" s="487"/>
      <c r="M48" s="487"/>
      <c r="N48" s="487"/>
      <c r="O48" s="487"/>
      <c r="P48" s="487"/>
      <c r="Q48" s="237"/>
      <c r="R48" s="237"/>
      <c r="S48" s="237"/>
      <c r="T48" s="237"/>
      <c r="U48" s="102"/>
      <c r="V48" s="102"/>
      <c r="W48" s="102"/>
      <c r="X48" s="102"/>
      <c r="Y48" s="102"/>
    </row>
    <row r="49" spans="1:25" x14ac:dyDescent="0.2">
      <c r="A49" s="211">
        <v>22</v>
      </c>
      <c r="B49" s="37"/>
      <c r="C49" s="10"/>
      <c r="D49" s="10" t="s">
        <v>258</v>
      </c>
      <c r="E49" s="19"/>
      <c r="F49" s="159" t="s">
        <v>62</v>
      </c>
      <c r="G49" s="303">
        <f>+'KIPP Assumptions'!E$35</f>
        <v>127344.96000000001</v>
      </c>
      <c r="H49" s="268"/>
      <c r="I49" s="487"/>
      <c r="J49" s="487"/>
      <c r="K49" s="487"/>
      <c r="L49" s="487"/>
      <c r="M49" s="487"/>
      <c r="N49" s="487"/>
      <c r="O49" s="487"/>
      <c r="P49" s="487"/>
      <c r="Q49" s="237"/>
      <c r="R49" s="237"/>
      <c r="S49" s="237"/>
      <c r="T49" s="237"/>
      <c r="U49" s="102"/>
      <c r="V49" s="102"/>
      <c r="W49" s="102"/>
      <c r="X49" s="102"/>
      <c r="Y49" s="102"/>
    </row>
    <row r="50" spans="1:25" x14ac:dyDescent="0.2">
      <c r="A50" s="211">
        <v>23</v>
      </c>
      <c r="B50" s="37"/>
      <c r="C50" s="10"/>
      <c r="D50" s="10" t="s">
        <v>259</v>
      </c>
      <c r="E50" s="19"/>
      <c r="F50" s="159" t="s">
        <v>63</v>
      </c>
      <c r="G50" s="303">
        <f>+'KIPP Assumptions'!E$36</f>
        <v>0</v>
      </c>
      <c r="H50" s="268"/>
      <c r="I50" s="487"/>
      <c r="J50" s="487"/>
      <c r="K50" s="487"/>
      <c r="L50" s="487"/>
      <c r="M50" s="487"/>
      <c r="N50" s="487"/>
      <c r="O50" s="487"/>
      <c r="P50" s="487"/>
      <c r="Q50" s="237"/>
      <c r="R50" s="237"/>
      <c r="S50" s="237"/>
      <c r="T50" s="237"/>
      <c r="U50" s="102"/>
      <c r="V50" s="102"/>
      <c r="W50" s="102"/>
      <c r="X50" s="102"/>
      <c r="Y50" s="102"/>
    </row>
    <row r="51" spans="1:25" x14ac:dyDescent="0.2">
      <c r="A51" s="211">
        <v>24</v>
      </c>
      <c r="B51" s="37"/>
      <c r="C51" s="10"/>
      <c r="D51" s="10" t="s">
        <v>260</v>
      </c>
      <c r="E51" s="19"/>
      <c r="F51" s="159" t="s">
        <v>64</v>
      </c>
      <c r="G51" s="303"/>
      <c r="H51" s="268"/>
      <c r="I51" s="487"/>
      <c r="J51" s="487"/>
      <c r="K51" s="487"/>
      <c r="L51" s="487"/>
      <c r="M51" s="487"/>
      <c r="N51" s="487"/>
      <c r="O51" s="487"/>
      <c r="P51" s="487"/>
      <c r="Q51" s="237"/>
      <c r="R51" s="237"/>
      <c r="S51" s="237"/>
      <c r="T51" s="237"/>
      <c r="U51" s="102"/>
      <c r="V51" s="102"/>
      <c r="W51" s="102"/>
      <c r="X51" s="102"/>
      <c r="Y51" s="102"/>
    </row>
    <row r="52" spans="1:25" x14ac:dyDescent="0.2">
      <c r="A52" s="211"/>
      <c r="B52" s="37"/>
      <c r="C52" s="10"/>
      <c r="D52" s="10" t="s">
        <v>278</v>
      </c>
      <c r="E52" s="62"/>
      <c r="F52" s="158"/>
      <c r="G52" s="302"/>
      <c r="H52" s="267"/>
      <c r="I52" s="487"/>
      <c r="J52" s="487"/>
      <c r="K52" s="487"/>
      <c r="L52" s="487"/>
      <c r="M52" s="487"/>
      <c r="N52" s="487"/>
      <c r="O52" s="487"/>
      <c r="P52" s="487"/>
      <c r="Q52" s="237"/>
      <c r="R52" s="237"/>
      <c r="S52" s="237"/>
      <c r="T52" s="237"/>
      <c r="U52" s="102"/>
      <c r="V52" s="102"/>
      <c r="W52" s="102"/>
      <c r="X52" s="102"/>
      <c r="Y52" s="102"/>
    </row>
    <row r="53" spans="1:25" x14ac:dyDescent="0.2">
      <c r="A53" s="211">
        <v>25</v>
      </c>
      <c r="B53" s="37"/>
      <c r="C53" s="10"/>
      <c r="D53" s="10" t="s">
        <v>261</v>
      </c>
      <c r="E53" s="19"/>
      <c r="F53" s="159" t="s">
        <v>65</v>
      </c>
      <c r="G53" s="303">
        <f>+'KIPP Assumptions'!E$31</f>
        <v>363494.25</v>
      </c>
      <c r="H53" s="268"/>
      <c r="I53" s="487"/>
      <c r="J53" s="487"/>
      <c r="K53" s="487"/>
      <c r="L53" s="487"/>
      <c r="M53" s="487"/>
      <c r="N53" s="487"/>
      <c r="O53" s="487"/>
      <c r="P53" s="487"/>
      <c r="Q53" s="237"/>
      <c r="R53" s="237"/>
      <c r="S53" s="237"/>
      <c r="T53" s="237"/>
      <c r="U53" s="102"/>
      <c r="V53" s="102"/>
      <c r="W53" s="102"/>
      <c r="X53" s="102"/>
      <c r="Y53" s="102"/>
    </row>
    <row r="54" spans="1:25" x14ac:dyDescent="0.2">
      <c r="A54" s="211">
        <v>26</v>
      </c>
      <c r="B54" s="37"/>
      <c r="C54" s="10"/>
      <c r="D54" s="10" t="s">
        <v>262</v>
      </c>
      <c r="E54" s="19"/>
      <c r="F54" s="159" t="s">
        <v>66</v>
      </c>
      <c r="G54" s="303"/>
      <c r="H54" s="268"/>
      <c r="I54" s="487"/>
      <c r="J54" s="487"/>
      <c r="K54" s="487"/>
      <c r="L54" s="487"/>
      <c r="M54" s="487"/>
      <c r="N54" s="487"/>
      <c r="O54" s="487"/>
      <c r="P54" s="487"/>
      <c r="Q54" s="237"/>
      <c r="R54" s="237"/>
      <c r="S54" s="237"/>
      <c r="T54" s="237"/>
      <c r="U54" s="102"/>
      <c r="V54" s="102"/>
      <c r="W54" s="102"/>
      <c r="X54" s="102"/>
      <c r="Y54" s="102"/>
    </row>
    <row r="55" spans="1:25" x14ac:dyDescent="0.2">
      <c r="A55" s="211">
        <v>27</v>
      </c>
      <c r="B55" s="37"/>
      <c r="C55" s="10"/>
      <c r="D55" s="10" t="s">
        <v>279</v>
      </c>
      <c r="E55" s="19"/>
      <c r="F55" s="159" t="s">
        <v>67</v>
      </c>
      <c r="G55" s="303"/>
      <c r="H55" s="268"/>
      <c r="I55" s="487"/>
      <c r="J55" s="487"/>
      <c r="K55" s="487"/>
      <c r="L55" s="487"/>
      <c r="M55" s="487"/>
      <c r="N55" s="487"/>
      <c r="O55" s="487"/>
      <c r="P55" s="487"/>
      <c r="Q55" s="237"/>
      <c r="R55" s="237"/>
      <c r="S55" s="237"/>
      <c r="T55" s="237"/>
      <c r="U55" s="102"/>
      <c r="V55" s="102"/>
      <c r="W55" s="102"/>
      <c r="X55" s="102"/>
      <c r="Y55" s="102"/>
    </row>
    <row r="56" spans="1:25" x14ac:dyDescent="0.2">
      <c r="A56" s="211">
        <v>28</v>
      </c>
      <c r="B56" s="37"/>
      <c r="C56" s="10"/>
      <c r="D56" s="10" t="s">
        <v>263</v>
      </c>
      <c r="E56" s="19"/>
      <c r="F56" s="159" t="s">
        <v>68</v>
      </c>
      <c r="G56" s="303">
        <f>+'KIPP Assumptions'!E$34</f>
        <v>10000</v>
      </c>
      <c r="H56" s="268"/>
      <c r="I56" s="487"/>
      <c r="J56" s="487"/>
      <c r="K56" s="487"/>
      <c r="L56" s="487"/>
      <c r="M56" s="487"/>
      <c r="N56" s="487"/>
      <c r="O56" s="487"/>
      <c r="P56" s="487"/>
      <c r="Q56" s="237"/>
      <c r="R56" s="237"/>
      <c r="S56" s="237"/>
      <c r="T56" s="237"/>
      <c r="U56" s="102"/>
      <c r="V56" s="102"/>
      <c r="W56" s="102"/>
      <c r="X56" s="102"/>
      <c r="Y56" s="102"/>
    </row>
    <row r="57" spans="1:25" x14ac:dyDescent="0.2">
      <c r="A57" s="211">
        <v>29</v>
      </c>
      <c r="B57" s="37"/>
      <c r="C57" s="10"/>
      <c r="D57" s="10" t="s">
        <v>280</v>
      </c>
      <c r="E57" s="19"/>
      <c r="F57" s="159" t="s">
        <v>69</v>
      </c>
      <c r="G57" s="303">
        <f>+'KIPP Assumptions'!E$32</f>
        <v>35550.468000000001</v>
      </c>
      <c r="H57" s="268"/>
      <c r="I57" s="487"/>
      <c r="J57" s="487"/>
      <c r="K57" s="487"/>
      <c r="L57" s="487"/>
      <c r="M57" s="487"/>
      <c r="N57" s="487"/>
      <c r="O57" s="487"/>
      <c r="P57" s="487"/>
      <c r="Q57" s="237"/>
      <c r="R57" s="237"/>
      <c r="S57" s="237"/>
      <c r="T57" s="237"/>
      <c r="U57" s="102"/>
      <c r="V57" s="102"/>
      <c r="W57" s="102"/>
      <c r="X57" s="102"/>
      <c r="Y57" s="102"/>
    </row>
    <row r="58" spans="1:25" x14ac:dyDescent="0.2">
      <c r="A58" s="211">
        <v>30</v>
      </c>
      <c r="B58" s="37"/>
      <c r="C58" s="10"/>
      <c r="D58" s="10" t="s">
        <v>264</v>
      </c>
      <c r="E58" s="19"/>
      <c r="F58" s="159" t="s">
        <v>70</v>
      </c>
      <c r="G58" s="303">
        <f>+'KIPP Assumptions'!E$33</f>
        <v>1500</v>
      </c>
      <c r="H58" s="268"/>
      <c r="I58" s="487"/>
      <c r="J58" s="487"/>
      <c r="K58" s="487"/>
      <c r="L58" s="487"/>
      <c r="M58" s="487"/>
      <c r="N58" s="487"/>
      <c r="O58" s="487"/>
      <c r="P58" s="487"/>
      <c r="Q58" s="237"/>
      <c r="R58" s="237"/>
      <c r="S58" s="237"/>
      <c r="T58" s="237"/>
      <c r="U58" s="102"/>
      <c r="V58" s="102"/>
      <c r="W58" s="102"/>
      <c r="X58" s="102"/>
      <c r="Y58" s="102"/>
    </row>
    <row r="59" spans="1:25" x14ac:dyDescent="0.2">
      <c r="A59" s="211">
        <v>31</v>
      </c>
      <c r="B59" s="37"/>
      <c r="C59" s="10"/>
      <c r="D59" s="10" t="s">
        <v>71</v>
      </c>
      <c r="E59" s="19"/>
      <c r="F59" s="159" t="s">
        <v>72</v>
      </c>
      <c r="G59" s="303"/>
      <c r="H59" s="268"/>
      <c r="I59" s="487"/>
      <c r="J59" s="487"/>
      <c r="K59" s="487"/>
      <c r="L59" s="487"/>
      <c r="M59" s="487"/>
      <c r="N59" s="487"/>
      <c r="O59" s="487"/>
      <c r="P59" s="487"/>
      <c r="Q59" s="237"/>
      <c r="R59" s="237"/>
      <c r="S59" s="237"/>
      <c r="T59" s="237"/>
      <c r="U59" s="102"/>
      <c r="V59" s="102"/>
      <c r="W59" s="102"/>
      <c r="X59" s="102"/>
      <c r="Y59" s="102"/>
    </row>
    <row r="60" spans="1:25" x14ac:dyDescent="0.2">
      <c r="A60" s="211"/>
      <c r="B60" s="37"/>
      <c r="C60" s="10" t="s">
        <v>73</v>
      </c>
      <c r="D60" s="10"/>
      <c r="E60" s="74"/>
      <c r="F60" s="160"/>
      <c r="G60" s="309"/>
      <c r="H60" s="298"/>
      <c r="I60" s="487"/>
      <c r="J60" s="487"/>
      <c r="K60" s="487"/>
      <c r="L60" s="487"/>
      <c r="M60" s="487"/>
      <c r="N60" s="487"/>
      <c r="O60" s="487"/>
      <c r="P60" s="487"/>
      <c r="Q60" s="237"/>
      <c r="R60" s="237"/>
      <c r="S60" s="237"/>
      <c r="T60" s="237"/>
      <c r="U60" s="102"/>
      <c r="V60" s="102"/>
      <c r="W60" s="102"/>
      <c r="X60" s="102"/>
      <c r="Y60" s="102"/>
    </row>
    <row r="61" spans="1:25" x14ac:dyDescent="0.2">
      <c r="A61" s="211">
        <v>32</v>
      </c>
      <c r="B61" s="37"/>
      <c r="C61" s="10"/>
      <c r="D61" s="10" t="s">
        <v>74</v>
      </c>
      <c r="E61" s="19"/>
      <c r="F61" s="159" t="s">
        <v>75</v>
      </c>
      <c r="G61" s="303">
        <f>+'KIPP Assumptions'!E$61</f>
        <v>25000</v>
      </c>
      <c r="H61" s="268"/>
      <c r="I61" s="487"/>
      <c r="J61" s="487"/>
      <c r="K61" s="487"/>
      <c r="L61" s="487"/>
      <c r="M61" s="487"/>
      <c r="N61" s="487"/>
      <c r="O61" s="487"/>
      <c r="P61" s="487"/>
      <c r="Q61" s="237"/>
      <c r="R61" s="237"/>
      <c r="S61" s="237"/>
      <c r="T61" s="237"/>
      <c r="U61" s="102"/>
      <c r="V61" s="102"/>
      <c r="W61" s="102"/>
      <c r="X61" s="102"/>
      <c r="Y61" s="102"/>
    </row>
    <row r="62" spans="1:25" s="95" customFormat="1" ht="14.25" customHeight="1" x14ac:dyDescent="0.2">
      <c r="A62" s="215">
        <v>33</v>
      </c>
      <c r="B62" s="92"/>
      <c r="C62" s="83" t="s">
        <v>17</v>
      </c>
      <c r="D62" s="83"/>
      <c r="E62" s="93"/>
      <c r="F62" s="161"/>
      <c r="G62" s="305"/>
      <c r="H62" s="270"/>
      <c r="I62" s="488"/>
      <c r="J62" s="488"/>
      <c r="K62" s="488"/>
      <c r="L62" s="488"/>
      <c r="M62" s="488"/>
      <c r="N62" s="488"/>
      <c r="O62" s="488"/>
      <c r="P62" s="488"/>
      <c r="Q62" s="242"/>
      <c r="R62" s="242"/>
      <c r="S62" s="242"/>
      <c r="T62" s="237"/>
      <c r="U62" s="241"/>
      <c r="V62" s="241"/>
      <c r="W62" s="241"/>
      <c r="X62" s="241"/>
      <c r="Y62" s="241"/>
    </row>
    <row r="63" spans="1:25" s="95" customFormat="1" ht="14.25" customHeight="1" x14ac:dyDescent="0.2">
      <c r="A63" s="215">
        <v>34</v>
      </c>
      <c r="B63" s="92"/>
      <c r="C63" s="83"/>
      <c r="D63" s="10"/>
      <c r="E63" s="93"/>
      <c r="F63" s="159" t="s">
        <v>464</v>
      </c>
      <c r="G63" s="321">
        <v>0</v>
      </c>
      <c r="H63" s="270"/>
      <c r="I63" s="488"/>
      <c r="J63" s="488"/>
      <c r="K63" s="488"/>
      <c r="L63" s="488"/>
      <c r="M63" s="488"/>
      <c r="N63" s="488"/>
      <c r="O63" s="488"/>
      <c r="P63" s="488"/>
      <c r="Q63" s="242"/>
      <c r="R63" s="242"/>
      <c r="S63" s="242"/>
      <c r="T63" s="237"/>
      <c r="U63" s="241"/>
      <c r="V63" s="241"/>
      <c r="W63" s="241"/>
      <c r="X63" s="241"/>
      <c r="Y63" s="241"/>
    </row>
    <row r="64" spans="1:25" x14ac:dyDescent="0.2">
      <c r="A64" s="213">
        <v>35</v>
      </c>
      <c r="B64" s="43"/>
      <c r="C64" s="44"/>
      <c r="D64" s="44"/>
      <c r="E64" s="23"/>
      <c r="F64" s="162"/>
      <c r="G64" s="304"/>
      <c r="H64" s="269"/>
      <c r="I64" s="487"/>
      <c r="J64" s="487"/>
      <c r="K64" s="487"/>
      <c r="L64" s="487"/>
      <c r="M64" s="487"/>
      <c r="N64" s="487"/>
      <c r="O64" s="487"/>
      <c r="P64" s="487"/>
      <c r="Q64" s="237"/>
      <c r="R64" s="237"/>
      <c r="S64" s="237"/>
      <c r="T64" s="237"/>
      <c r="U64" s="102"/>
      <c r="V64" s="102"/>
      <c r="W64" s="102"/>
      <c r="X64" s="102"/>
      <c r="Y64" s="102"/>
    </row>
    <row r="65" spans="1:25" x14ac:dyDescent="0.2">
      <c r="A65" s="216">
        <v>36</v>
      </c>
      <c r="B65" s="48" t="s">
        <v>268</v>
      </c>
      <c r="C65" s="7"/>
      <c r="D65" s="7"/>
      <c r="E65" s="50"/>
      <c r="F65" s="163"/>
      <c r="G65" s="306">
        <f>SUM(G42:G64)</f>
        <v>973689.67799999996</v>
      </c>
      <c r="H65" s="271"/>
      <c r="I65" s="487"/>
      <c r="J65" s="487"/>
      <c r="K65" s="487"/>
      <c r="L65" s="487"/>
      <c r="M65" s="487"/>
      <c r="N65" s="487"/>
      <c r="O65" s="487"/>
      <c r="P65" s="487"/>
      <c r="Q65" s="237"/>
      <c r="R65" s="237"/>
      <c r="S65" s="237"/>
      <c r="T65" s="237"/>
      <c r="U65" s="102"/>
      <c r="V65" s="102"/>
      <c r="W65" s="102"/>
      <c r="X65" s="102"/>
      <c r="Y65" s="102"/>
    </row>
    <row r="66" spans="1:25" x14ac:dyDescent="0.2">
      <c r="A66" s="211"/>
      <c r="B66" s="37"/>
      <c r="C66" s="10"/>
      <c r="D66" s="10"/>
      <c r="E66" s="62"/>
      <c r="F66" s="158"/>
      <c r="G66" s="302"/>
      <c r="H66" s="267"/>
      <c r="I66" s="487"/>
      <c r="J66" s="487"/>
      <c r="K66" s="487"/>
      <c r="L66" s="487"/>
      <c r="M66" s="487"/>
      <c r="N66" s="487"/>
      <c r="O66" s="487"/>
      <c r="P66" s="487"/>
      <c r="Q66" s="237"/>
      <c r="R66" s="237"/>
      <c r="S66" s="237"/>
      <c r="T66" s="237"/>
      <c r="U66" s="102"/>
      <c r="V66" s="102"/>
      <c r="W66" s="102"/>
      <c r="X66" s="102"/>
      <c r="Y66" s="102"/>
    </row>
    <row r="67" spans="1:25" s="14" customFormat="1" x14ac:dyDescent="0.2">
      <c r="A67" s="218"/>
      <c r="B67" s="26" t="s">
        <v>284</v>
      </c>
      <c r="C67" s="12"/>
      <c r="D67" s="12"/>
      <c r="E67" s="62"/>
      <c r="F67" s="158"/>
      <c r="G67" s="302"/>
      <c r="H67" s="267"/>
      <c r="I67" s="487"/>
      <c r="J67" s="487"/>
      <c r="K67" s="487"/>
      <c r="L67" s="487"/>
      <c r="M67" s="487"/>
      <c r="N67" s="487"/>
      <c r="O67" s="487"/>
      <c r="P67" s="487"/>
      <c r="Q67" s="237"/>
      <c r="R67" s="237"/>
      <c r="S67" s="237"/>
      <c r="T67" s="237"/>
      <c r="U67" s="102"/>
      <c r="V67" s="102"/>
      <c r="W67" s="102"/>
      <c r="X67" s="102"/>
      <c r="Y67" s="102"/>
    </row>
    <row r="68" spans="1:25" s="100" customFormat="1" x14ac:dyDescent="0.2">
      <c r="A68" s="219">
        <v>37</v>
      </c>
      <c r="B68" s="96"/>
      <c r="C68" s="97"/>
      <c r="D68" s="97"/>
      <c r="E68" s="98"/>
      <c r="F68" s="164" t="s">
        <v>252</v>
      </c>
      <c r="G68" s="310"/>
      <c r="H68" s="291"/>
      <c r="I68" s="487"/>
      <c r="J68" s="487"/>
      <c r="K68" s="487"/>
      <c r="L68" s="487"/>
      <c r="M68" s="487"/>
      <c r="N68" s="487"/>
      <c r="O68" s="487"/>
      <c r="P68" s="487"/>
      <c r="Q68" s="237"/>
      <c r="R68" s="237"/>
      <c r="S68" s="237"/>
      <c r="T68" s="237"/>
      <c r="U68" s="102"/>
      <c r="V68" s="102"/>
      <c r="W68" s="102"/>
      <c r="X68" s="102"/>
      <c r="Y68" s="102"/>
    </row>
    <row r="69" spans="1:25" ht="15" thickBot="1" x14ac:dyDescent="0.25">
      <c r="A69" s="213">
        <v>38</v>
      </c>
      <c r="B69" s="43"/>
      <c r="C69" s="44"/>
      <c r="D69" s="44"/>
      <c r="E69" s="134"/>
      <c r="F69" s="165"/>
      <c r="G69" s="311"/>
      <c r="H69" s="299"/>
      <c r="I69" s="487"/>
      <c r="J69" s="487"/>
      <c r="K69" s="487"/>
      <c r="L69" s="487"/>
      <c r="M69" s="487"/>
      <c r="N69" s="487"/>
      <c r="O69" s="487"/>
      <c r="P69" s="487"/>
      <c r="Q69" s="237"/>
      <c r="R69" s="237"/>
      <c r="S69" s="237"/>
      <c r="T69" s="237"/>
      <c r="U69" s="102"/>
      <c r="V69" s="102"/>
      <c r="W69" s="102"/>
      <c r="X69" s="102"/>
      <c r="Y69" s="102"/>
    </row>
    <row r="70" spans="1:25" ht="15" thickBot="1" x14ac:dyDescent="0.25">
      <c r="A70" s="220">
        <v>39</v>
      </c>
      <c r="B70" s="45" t="s">
        <v>271</v>
      </c>
      <c r="C70" s="8"/>
      <c r="D70" s="8"/>
      <c r="E70" s="46"/>
      <c r="F70" s="166"/>
      <c r="G70" s="312">
        <f>+G21+G33+G65+G68+G69</f>
        <v>8704891.0544615313</v>
      </c>
      <c r="H70" s="287"/>
      <c r="I70" s="487"/>
      <c r="J70" s="487"/>
      <c r="K70" s="487"/>
      <c r="L70" s="487"/>
      <c r="M70" s="487"/>
      <c r="N70" s="487"/>
      <c r="O70" s="487"/>
      <c r="P70" s="487"/>
      <c r="Q70" s="237"/>
      <c r="R70" s="237"/>
      <c r="S70" s="237"/>
      <c r="T70" s="237"/>
      <c r="U70" s="102"/>
      <c r="V70" s="102"/>
      <c r="W70" s="102"/>
      <c r="X70" s="102"/>
      <c r="Y70" s="102"/>
    </row>
    <row r="71" spans="1:25" s="14" customFormat="1" x14ac:dyDescent="0.2">
      <c r="A71" s="238"/>
      <c r="D71" s="178"/>
      <c r="E71" s="179"/>
      <c r="F71" s="179"/>
      <c r="G71" s="313"/>
      <c r="H71" s="179"/>
      <c r="I71" s="102"/>
      <c r="J71" s="102"/>
      <c r="K71" s="102"/>
      <c r="L71" s="102"/>
      <c r="M71" s="102"/>
      <c r="N71" s="102"/>
      <c r="O71" s="102"/>
      <c r="P71" s="102"/>
      <c r="Q71" s="243"/>
      <c r="R71" s="243"/>
      <c r="S71" s="243"/>
      <c r="T71" s="243"/>
      <c r="U71" s="102"/>
      <c r="V71" s="102"/>
      <c r="W71" s="102"/>
      <c r="X71" s="102"/>
      <c r="Y71" s="102"/>
    </row>
    <row r="72" spans="1:25" s="14" customFormat="1" x14ac:dyDescent="0.2">
      <c r="A72" s="238"/>
      <c r="E72" s="180"/>
      <c r="F72" s="180"/>
      <c r="G72" s="314"/>
      <c r="H72" s="180"/>
      <c r="I72" s="102"/>
      <c r="J72" s="102"/>
      <c r="K72" s="102"/>
      <c r="L72" s="102"/>
      <c r="M72" s="102"/>
      <c r="N72" s="102"/>
      <c r="O72" s="102"/>
      <c r="P72" s="102"/>
      <c r="Q72" s="243"/>
      <c r="R72" s="243"/>
      <c r="S72" s="243"/>
      <c r="T72" s="243"/>
      <c r="U72" s="102"/>
      <c r="V72" s="102"/>
      <c r="W72" s="102"/>
      <c r="X72" s="102"/>
      <c r="Y72" s="102"/>
    </row>
    <row r="73" spans="1:25" s="14" customFormat="1" x14ac:dyDescent="0.2">
      <c r="A73" s="238"/>
      <c r="E73" s="180"/>
      <c r="F73" s="180"/>
      <c r="G73" s="314"/>
      <c r="H73" s="180"/>
      <c r="I73" s="102"/>
      <c r="J73" s="102"/>
      <c r="K73" s="102"/>
      <c r="M73" s="102"/>
      <c r="N73" s="102"/>
      <c r="O73" s="102"/>
      <c r="P73" s="102"/>
      <c r="Q73" s="243"/>
      <c r="R73" s="243"/>
      <c r="S73" s="243"/>
      <c r="T73" s="243"/>
      <c r="U73" s="102"/>
      <c r="V73" s="102"/>
      <c r="W73" s="102"/>
      <c r="X73" s="102"/>
      <c r="Y73" s="102"/>
    </row>
    <row r="74" spans="1:25" s="14" customFormat="1" ht="20.25" customHeight="1" x14ac:dyDescent="0.25">
      <c r="A74" s="222"/>
      <c r="B74" s="21" t="s">
        <v>273</v>
      </c>
      <c r="E74" s="15"/>
      <c r="F74" s="167"/>
      <c r="G74" s="315"/>
      <c r="H74" s="283"/>
      <c r="I74" s="487"/>
      <c r="J74" s="489"/>
      <c r="K74" s="489"/>
      <c r="L74" s="498"/>
      <c r="M74" s="102"/>
      <c r="N74" s="102"/>
      <c r="O74" s="487"/>
      <c r="P74" s="487"/>
      <c r="Q74" s="237"/>
      <c r="R74" s="237"/>
      <c r="S74" s="237"/>
      <c r="T74" s="237"/>
      <c r="U74" s="102"/>
      <c r="V74" s="102"/>
      <c r="W74" s="102"/>
      <c r="X74" s="102"/>
      <c r="Y74" s="102"/>
    </row>
    <row r="75" spans="1:25" x14ac:dyDescent="0.2">
      <c r="A75" s="222"/>
      <c r="D75" s="14"/>
      <c r="E75" s="15" t="s">
        <v>33</v>
      </c>
      <c r="F75" s="167"/>
      <c r="G75" s="315"/>
      <c r="H75" s="283"/>
      <c r="I75" s="487"/>
      <c r="J75" s="487"/>
      <c r="K75" s="487"/>
      <c r="L75" s="499"/>
      <c r="M75" s="102"/>
      <c r="N75" s="102"/>
      <c r="O75" s="487"/>
      <c r="P75" s="487"/>
      <c r="Q75" s="237"/>
      <c r="R75" s="237"/>
      <c r="S75" s="237"/>
      <c r="T75" s="237"/>
      <c r="U75" s="102"/>
      <c r="V75" s="102"/>
      <c r="W75" s="102"/>
      <c r="X75" s="102"/>
      <c r="Y75" s="102"/>
    </row>
    <row r="76" spans="1:25" s="5" customFormat="1" ht="15" x14ac:dyDescent="0.25">
      <c r="A76" s="223"/>
      <c r="B76" s="55" t="s">
        <v>16</v>
      </c>
      <c r="C76" s="56"/>
      <c r="D76" s="56"/>
      <c r="E76" s="64" t="s">
        <v>33</v>
      </c>
      <c r="F76" s="168"/>
      <c r="G76" s="316"/>
      <c r="H76" s="284"/>
      <c r="I76" s="489"/>
      <c r="J76" s="489"/>
      <c r="K76" s="489"/>
      <c r="L76" s="487"/>
      <c r="M76" s="618"/>
      <c r="N76" s="499"/>
      <c r="O76" s="489"/>
      <c r="P76" s="489"/>
      <c r="Q76" s="244"/>
      <c r="R76" s="244"/>
      <c r="S76" s="244"/>
      <c r="T76" s="244"/>
      <c r="U76" s="240"/>
      <c r="V76" s="240"/>
      <c r="W76" s="240"/>
      <c r="X76" s="240"/>
      <c r="Y76" s="240"/>
    </row>
    <row r="77" spans="1:25" s="5" customFormat="1" ht="15" x14ac:dyDescent="0.25">
      <c r="A77" s="224"/>
      <c r="B77" s="90" t="s">
        <v>274</v>
      </c>
      <c r="C77" s="57"/>
      <c r="D77" s="57"/>
      <c r="E77" s="66"/>
      <c r="F77" s="169"/>
      <c r="G77" s="317"/>
      <c r="H77" s="285"/>
      <c r="I77" s="489"/>
      <c r="J77" s="489"/>
      <c r="K77" s="489"/>
      <c r="L77" s="498"/>
      <c r="M77" s="515"/>
      <c r="N77" s="495"/>
      <c r="O77" s="618"/>
      <c r="P77" s="489"/>
      <c r="Q77" s="244"/>
      <c r="R77" s="244"/>
      <c r="S77" s="244"/>
      <c r="T77" s="244"/>
      <c r="U77" s="240"/>
      <c r="V77" s="240"/>
      <c r="W77" s="240"/>
      <c r="X77" s="240"/>
      <c r="Y77" s="240"/>
    </row>
    <row r="78" spans="1:25" x14ac:dyDescent="0.2">
      <c r="A78" s="225"/>
      <c r="B78" s="37"/>
      <c r="C78" s="10" t="s">
        <v>76</v>
      </c>
      <c r="D78" s="10"/>
      <c r="E78" s="62"/>
      <c r="F78" s="158"/>
      <c r="G78" s="302"/>
      <c r="H78" s="267"/>
      <c r="I78" s="487"/>
      <c r="J78" s="487"/>
      <c r="K78" s="487"/>
      <c r="L78" s="499"/>
      <c r="M78" s="515"/>
      <c r="N78" s="495"/>
      <c r="O78" s="102"/>
      <c r="P78" s="487"/>
      <c r="Q78" s="237"/>
      <c r="R78" s="237"/>
      <c r="S78" s="237"/>
      <c r="T78" s="237"/>
      <c r="U78" s="102"/>
      <c r="V78" s="102"/>
      <c r="W78" s="102"/>
      <c r="X78" s="102"/>
      <c r="Y78" s="102"/>
    </row>
    <row r="79" spans="1:25" x14ac:dyDescent="0.2">
      <c r="A79" s="225">
        <v>40</v>
      </c>
      <c r="B79" s="37"/>
      <c r="C79" s="10"/>
      <c r="D79" s="10" t="s">
        <v>117</v>
      </c>
      <c r="E79" s="19">
        <v>112</v>
      </c>
      <c r="F79" s="159">
        <v>1100</v>
      </c>
      <c r="G79" s="303">
        <f>SUM(I79*J79,K79*L79)</f>
        <v>1491054.0654687502</v>
      </c>
      <c r="H79" s="268" t="s">
        <v>517</v>
      </c>
      <c r="I79" s="490">
        <f>+'KIPP Assumptions'!E$83</f>
        <v>28</v>
      </c>
      <c r="J79" s="314">
        <f>+'Yr 3 Operating Statement of Act'!J79*(1+'Operating Statement of Act'!$M$79)</f>
        <v>50037.645195312507</v>
      </c>
      <c r="K79" s="490">
        <f>'KIPP Assumptions'!E84</f>
        <v>3</v>
      </c>
      <c r="L79" s="314">
        <v>30000</v>
      </c>
      <c r="M79" s="487"/>
      <c r="N79" s="487"/>
      <c r="O79" s="487"/>
      <c r="P79" s="487"/>
      <c r="Q79" s="237"/>
      <c r="R79" s="237"/>
      <c r="S79" s="237"/>
      <c r="T79" s="237"/>
      <c r="U79" s="102"/>
      <c r="V79" s="102"/>
      <c r="W79" s="102"/>
      <c r="X79" s="102"/>
      <c r="Y79" s="102"/>
    </row>
    <row r="80" spans="1:25" x14ac:dyDescent="0.2">
      <c r="A80" s="225">
        <v>41</v>
      </c>
      <c r="B80" s="37"/>
      <c r="C80" s="10"/>
      <c r="D80" s="10" t="s">
        <v>78</v>
      </c>
      <c r="E80" s="19" t="s">
        <v>79</v>
      </c>
      <c r="F80" s="159" t="s">
        <v>80</v>
      </c>
      <c r="G80" s="303"/>
      <c r="H80" s="268"/>
      <c r="I80" s="490"/>
      <c r="J80" s="487"/>
      <c r="K80" s="314"/>
      <c r="L80" s="491"/>
      <c r="M80" s="487"/>
      <c r="N80" s="487"/>
      <c r="O80" s="487"/>
      <c r="P80" s="487"/>
      <c r="Q80" s="237"/>
      <c r="R80" s="237"/>
      <c r="S80" s="237"/>
      <c r="T80" s="237"/>
      <c r="U80" s="102"/>
      <c r="V80" s="102"/>
      <c r="W80" s="102"/>
      <c r="X80" s="102"/>
      <c r="Y80" s="102"/>
    </row>
    <row r="81" spans="1:25" x14ac:dyDescent="0.2">
      <c r="A81" s="225">
        <v>42</v>
      </c>
      <c r="B81" s="37"/>
      <c r="C81" s="10"/>
      <c r="D81" s="10" t="s">
        <v>81</v>
      </c>
      <c r="E81" s="19" t="s">
        <v>82</v>
      </c>
      <c r="F81" s="159" t="s">
        <v>80</v>
      </c>
      <c r="G81" s="303"/>
      <c r="H81" s="290"/>
      <c r="I81" s="490"/>
      <c r="J81" s="487"/>
      <c r="K81" s="487"/>
      <c r="L81" s="491"/>
      <c r="M81" s="487"/>
      <c r="N81" s="487"/>
      <c r="O81" s="487"/>
      <c r="P81" s="487"/>
      <c r="Q81" s="237"/>
      <c r="R81" s="237"/>
      <c r="S81" s="237"/>
      <c r="T81" s="237"/>
      <c r="U81" s="102"/>
      <c r="V81" s="102"/>
      <c r="W81" s="102"/>
      <c r="X81" s="102"/>
      <c r="Y81" s="102"/>
    </row>
    <row r="82" spans="1:25" x14ac:dyDescent="0.2">
      <c r="A82" s="225">
        <v>43</v>
      </c>
      <c r="B82" s="37"/>
      <c r="C82" s="10" t="s">
        <v>83</v>
      </c>
      <c r="D82" s="10"/>
      <c r="E82" s="19" t="s">
        <v>84</v>
      </c>
      <c r="F82" s="159" t="s">
        <v>80</v>
      </c>
      <c r="G82" s="303">
        <v>113905.27416774195</v>
      </c>
      <c r="H82" s="268" t="s">
        <v>472</v>
      </c>
      <c r="I82" s="490"/>
      <c r="J82" s="491"/>
      <c r="K82" s="487"/>
      <c r="L82" s="491"/>
      <c r="M82" s="487"/>
      <c r="N82" s="487"/>
      <c r="O82" s="487"/>
      <c r="P82" s="487"/>
      <c r="Q82" s="237"/>
      <c r="R82" s="237"/>
      <c r="S82" s="237"/>
      <c r="T82" s="237"/>
      <c r="U82" s="102"/>
      <c r="V82" s="102"/>
      <c r="W82" s="102"/>
      <c r="X82" s="102"/>
      <c r="Y82" s="102"/>
    </row>
    <row r="83" spans="1:25" x14ac:dyDescent="0.2">
      <c r="A83" s="225">
        <v>44</v>
      </c>
      <c r="B83" s="37"/>
      <c r="C83" s="10" t="s">
        <v>85</v>
      </c>
      <c r="D83" s="10"/>
      <c r="E83" s="19" t="s">
        <v>86</v>
      </c>
      <c r="F83" s="159" t="s">
        <v>80</v>
      </c>
      <c r="G83" s="303"/>
      <c r="H83" s="268"/>
      <c r="I83" s="490"/>
      <c r="J83" s="487"/>
      <c r="K83" s="487"/>
      <c r="L83" s="491"/>
      <c r="M83" s="487"/>
      <c r="N83" s="487"/>
      <c r="O83" s="487"/>
      <c r="P83" s="487"/>
      <c r="Q83" s="237"/>
      <c r="R83" s="237"/>
      <c r="S83" s="237"/>
      <c r="T83" s="237"/>
      <c r="U83" s="102"/>
      <c r="V83" s="102"/>
      <c r="W83" s="102"/>
      <c r="X83" s="102"/>
      <c r="Y83" s="102"/>
    </row>
    <row r="84" spans="1:25" x14ac:dyDescent="0.2">
      <c r="A84" s="225">
        <v>45</v>
      </c>
      <c r="B84" s="37"/>
      <c r="C84" s="10" t="s">
        <v>87</v>
      </c>
      <c r="D84" s="10"/>
      <c r="E84" s="19" t="s">
        <v>88</v>
      </c>
      <c r="F84" s="159" t="s">
        <v>80</v>
      </c>
      <c r="G84" s="303">
        <v>5306.04</v>
      </c>
      <c r="H84" s="268" t="s">
        <v>430</v>
      </c>
      <c r="I84" s="490"/>
      <c r="J84" s="491"/>
      <c r="K84" s="491"/>
      <c r="L84" s="491"/>
      <c r="M84" s="487"/>
      <c r="N84" s="487"/>
      <c r="O84" s="487"/>
      <c r="P84" s="487"/>
      <c r="Q84" s="237"/>
      <c r="R84" s="237"/>
      <c r="S84" s="237"/>
      <c r="T84" s="237"/>
      <c r="U84" s="102"/>
      <c r="V84" s="102"/>
      <c r="W84" s="102"/>
      <c r="X84" s="102"/>
      <c r="Y84" s="102"/>
    </row>
    <row r="85" spans="1:25" x14ac:dyDescent="0.2">
      <c r="A85" s="225"/>
      <c r="B85" s="37"/>
      <c r="C85" s="10" t="s">
        <v>89</v>
      </c>
      <c r="D85" s="10"/>
      <c r="E85" s="62"/>
      <c r="F85" s="158"/>
      <c r="G85" s="302"/>
      <c r="H85" s="267"/>
      <c r="I85" s="490"/>
      <c r="J85" s="487"/>
      <c r="K85" s="487"/>
      <c r="L85" s="491"/>
      <c r="M85" s="487"/>
      <c r="N85" s="487"/>
      <c r="O85" s="487"/>
      <c r="P85" s="487"/>
      <c r="Q85" s="237"/>
      <c r="R85" s="237"/>
      <c r="S85" s="237"/>
      <c r="T85" s="237"/>
      <c r="U85" s="102"/>
      <c r="V85" s="102"/>
      <c r="W85" s="102"/>
      <c r="X85" s="102"/>
      <c r="Y85" s="102"/>
    </row>
    <row r="86" spans="1:25" x14ac:dyDescent="0.2">
      <c r="A86" s="225">
        <v>46</v>
      </c>
      <c r="B86" s="37"/>
      <c r="C86" s="10"/>
      <c r="D86" s="10" t="s">
        <v>6</v>
      </c>
      <c r="E86" s="19" t="s">
        <v>90</v>
      </c>
      <c r="F86" s="159" t="s">
        <v>80</v>
      </c>
      <c r="G86" s="303">
        <v>174400.63434580649</v>
      </c>
      <c r="H86" s="268" t="s">
        <v>434</v>
      </c>
      <c r="I86" s="490"/>
      <c r="J86" s="491"/>
      <c r="K86" s="487"/>
      <c r="L86" s="491"/>
      <c r="M86" s="487"/>
      <c r="N86" s="487"/>
      <c r="O86" s="487"/>
      <c r="P86" s="487"/>
      <c r="Q86" s="237"/>
      <c r="R86" s="237"/>
      <c r="S86" s="237"/>
      <c r="T86" s="237"/>
      <c r="U86" s="102"/>
      <c r="V86" s="102"/>
      <c r="W86" s="102"/>
      <c r="X86" s="102"/>
      <c r="Y86" s="102"/>
    </row>
    <row r="87" spans="1:25" x14ac:dyDescent="0.2">
      <c r="A87" s="225">
        <v>47</v>
      </c>
      <c r="B87" s="37"/>
      <c r="C87" s="10"/>
      <c r="D87" s="10" t="s">
        <v>91</v>
      </c>
      <c r="E87" s="19" t="s">
        <v>92</v>
      </c>
      <c r="F87" s="159" t="s">
        <v>80</v>
      </c>
      <c r="G87" s="303">
        <v>24664.527870967748</v>
      </c>
      <c r="H87" s="268"/>
      <c r="I87" s="490"/>
      <c r="J87" s="491"/>
      <c r="K87" s="487"/>
      <c r="L87" s="491"/>
      <c r="M87" s="487"/>
      <c r="N87" s="487"/>
      <c r="O87" s="487"/>
      <c r="P87" s="487"/>
      <c r="Q87" s="237"/>
      <c r="R87" s="237"/>
      <c r="S87" s="237"/>
      <c r="T87" s="237"/>
      <c r="U87" s="102"/>
      <c r="V87" s="102"/>
      <c r="W87" s="102"/>
      <c r="X87" s="102"/>
      <c r="Y87" s="102"/>
    </row>
    <row r="88" spans="1:25" x14ac:dyDescent="0.2">
      <c r="A88" s="225">
        <v>48</v>
      </c>
      <c r="B88" s="37"/>
      <c r="C88" s="10" t="s">
        <v>93</v>
      </c>
      <c r="D88" s="10"/>
      <c r="E88" s="19" t="s">
        <v>94</v>
      </c>
      <c r="F88" s="159" t="s">
        <v>80</v>
      </c>
      <c r="G88" s="303">
        <v>0</v>
      </c>
      <c r="H88" s="268" t="s">
        <v>513</v>
      </c>
      <c r="I88" s="490"/>
      <c r="J88" s="491"/>
      <c r="K88" s="487"/>
      <c r="L88" s="491"/>
      <c r="M88" s="487"/>
      <c r="N88" s="487"/>
      <c r="O88" s="487"/>
      <c r="P88" s="487"/>
      <c r="Q88" s="237"/>
      <c r="R88" s="237"/>
      <c r="S88" s="237"/>
      <c r="T88" s="237"/>
      <c r="U88" s="102"/>
      <c r="V88" s="102"/>
      <c r="W88" s="102"/>
      <c r="X88" s="102"/>
      <c r="Y88" s="102"/>
    </row>
    <row r="89" spans="1:25" x14ac:dyDescent="0.2">
      <c r="A89" s="225">
        <v>49</v>
      </c>
      <c r="B89" s="37"/>
      <c r="C89" s="10" t="s">
        <v>95</v>
      </c>
      <c r="D89" s="10"/>
      <c r="E89" s="19" t="s">
        <v>96</v>
      </c>
      <c r="F89" s="159" t="s">
        <v>80</v>
      </c>
      <c r="G89" s="303"/>
      <c r="H89" s="268"/>
      <c r="I89" s="490"/>
      <c r="J89" s="487"/>
      <c r="K89" s="487"/>
      <c r="L89" s="491"/>
      <c r="M89" s="487"/>
      <c r="N89" s="487"/>
      <c r="O89" s="487"/>
      <c r="P89" s="487"/>
      <c r="Q89" s="237"/>
      <c r="R89" s="237"/>
      <c r="S89" s="237"/>
      <c r="T89" s="237"/>
      <c r="U89" s="102"/>
      <c r="V89" s="102"/>
      <c r="W89" s="102"/>
      <c r="X89" s="102"/>
      <c r="Y89" s="102"/>
    </row>
    <row r="90" spans="1:25" x14ac:dyDescent="0.2">
      <c r="A90" s="225">
        <v>50</v>
      </c>
      <c r="B90" s="37"/>
      <c r="C90" s="10" t="s">
        <v>295</v>
      </c>
      <c r="D90" s="10"/>
      <c r="E90" s="19" t="s">
        <v>97</v>
      </c>
      <c r="F90" s="159" t="s">
        <v>80</v>
      </c>
      <c r="G90" s="303">
        <f>+SUM(G$79:G$81)*I90</f>
        <v>105526.86751725723</v>
      </c>
      <c r="H90" s="268"/>
      <c r="I90" s="492">
        <f>'KIPP Assumptions'!$B$105+'KIPP Assumptions'!$B$106+'KIPP Assumptions'!$B$107+'KIPP Assumptions'!$B$108+'KIPP Assumptions'!$B$109</f>
        <v>7.0773334087038758E-2</v>
      </c>
      <c r="J90" s="487"/>
      <c r="K90" s="487"/>
      <c r="L90" s="491"/>
      <c r="M90" s="487"/>
      <c r="N90" s="487"/>
      <c r="O90" s="487"/>
      <c r="P90" s="487"/>
      <c r="Q90" s="237"/>
      <c r="R90" s="237"/>
      <c r="S90" s="237"/>
      <c r="T90" s="237"/>
      <c r="U90" s="102"/>
      <c r="V90" s="102"/>
      <c r="W90" s="102"/>
      <c r="X90" s="102"/>
      <c r="Y90" s="102"/>
    </row>
    <row r="91" spans="1:25" x14ac:dyDescent="0.2">
      <c r="A91" s="225">
        <v>51</v>
      </c>
      <c r="B91" s="37"/>
      <c r="C91" s="10" t="s">
        <v>98</v>
      </c>
      <c r="D91" s="10"/>
      <c r="E91" s="19" t="s">
        <v>99</v>
      </c>
      <c r="F91" s="159" t="s">
        <v>80</v>
      </c>
      <c r="G91" s="303">
        <f t="shared" ref="G91:G94" si="0">+SUM(G$79:G$81)*I91</f>
        <v>92445.352059062512</v>
      </c>
      <c r="H91" s="268"/>
      <c r="I91" s="492">
        <f>'KIPP Assumptions'!$B$111</f>
        <v>6.2E-2</v>
      </c>
      <c r="J91" s="487"/>
      <c r="K91" s="487"/>
      <c r="L91" s="491"/>
      <c r="M91" s="487"/>
      <c r="N91" s="487"/>
      <c r="O91" s="487"/>
      <c r="P91" s="487"/>
      <c r="Q91" s="237"/>
      <c r="R91" s="237"/>
      <c r="S91" s="237"/>
      <c r="T91" s="237"/>
      <c r="U91" s="102"/>
      <c r="V91" s="102"/>
      <c r="W91" s="102"/>
      <c r="X91" s="102"/>
      <c r="Y91" s="102"/>
    </row>
    <row r="92" spans="1:25" x14ac:dyDescent="0.2">
      <c r="A92" s="225">
        <v>52</v>
      </c>
      <c r="B92" s="37"/>
      <c r="C92" s="10" t="s">
        <v>100</v>
      </c>
      <c r="D92" s="10"/>
      <c r="E92" s="19" t="s">
        <v>101</v>
      </c>
      <c r="F92" s="159" t="s">
        <v>80</v>
      </c>
      <c r="G92" s="303">
        <f t="shared" si="0"/>
        <v>21620.283949296878</v>
      </c>
      <c r="H92" s="268"/>
      <c r="I92" s="492">
        <f>'KIPP Assumptions'!$B$110</f>
        <v>1.4500000000000001E-2</v>
      </c>
      <c r="J92" s="487"/>
      <c r="K92" s="487"/>
      <c r="L92" s="491"/>
      <c r="M92" s="487"/>
      <c r="N92" s="487"/>
      <c r="O92" s="487"/>
      <c r="P92" s="487"/>
      <c r="Q92" s="237"/>
      <c r="R92" s="237"/>
      <c r="S92" s="237"/>
      <c r="T92" s="237"/>
      <c r="U92" s="102"/>
      <c r="V92" s="102"/>
      <c r="W92" s="102"/>
      <c r="X92" s="102"/>
      <c r="Y92" s="102"/>
    </row>
    <row r="93" spans="1:25" x14ac:dyDescent="0.2">
      <c r="A93" s="225">
        <v>53</v>
      </c>
      <c r="B93" s="37"/>
      <c r="C93" s="10" t="s">
        <v>219</v>
      </c>
      <c r="D93" s="10"/>
      <c r="E93" s="19" t="s">
        <v>220</v>
      </c>
      <c r="F93" s="159">
        <v>1100</v>
      </c>
      <c r="G93" s="303">
        <f t="shared" si="0"/>
        <v>47906.205524571815</v>
      </c>
      <c r="H93" s="268"/>
      <c r="I93" s="492">
        <f>+'KIPP Assumptions'!$B$113</f>
        <v>3.21290868212155E-2</v>
      </c>
      <c r="J93" s="487"/>
      <c r="K93" s="487"/>
      <c r="L93" s="491"/>
      <c r="M93" s="487"/>
      <c r="N93" s="487"/>
      <c r="O93" s="487"/>
      <c r="P93" s="487"/>
      <c r="Q93" s="237"/>
      <c r="R93" s="237"/>
      <c r="S93" s="237"/>
      <c r="T93" s="237"/>
      <c r="U93" s="102"/>
      <c r="V93" s="102"/>
      <c r="W93" s="102"/>
      <c r="X93" s="102"/>
      <c r="Y93" s="102"/>
    </row>
    <row r="94" spans="1:25" x14ac:dyDescent="0.2">
      <c r="A94" s="225">
        <v>54</v>
      </c>
      <c r="B94" s="37"/>
      <c r="C94" s="10" t="s">
        <v>102</v>
      </c>
      <c r="D94" s="10"/>
      <c r="E94" s="19" t="s">
        <v>103</v>
      </c>
      <c r="F94" s="159" t="s">
        <v>80</v>
      </c>
      <c r="G94" s="303">
        <f t="shared" si="0"/>
        <v>1491.0540654687502</v>
      </c>
      <c r="H94" s="268"/>
      <c r="I94" s="492">
        <f>+'KIPP Assumptions'!$B$112</f>
        <v>1E-3</v>
      </c>
      <c r="J94" s="487"/>
      <c r="K94" s="487"/>
      <c r="L94" s="491"/>
      <c r="M94" s="487"/>
      <c r="N94" s="487"/>
      <c r="O94" s="487"/>
      <c r="P94" s="487"/>
      <c r="Q94" s="237"/>
      <c r="R94" s="237"/>
      <c r="S94" s="237"/>
      <c r="T94" s="237"/>
      <c r="U94" s="102"/>
      <c r="V94" s="102"/>
      <c r="W94" s="102"/>
      <c r="X94" s="102"/>
      <c r="Y94" s="102"/>
    </row>
    <row r="95" spans="1:25" x14ac:dyDescent="0.2">
      <c r="A95" s="225">
        <v>55</v>
      </c>
      <c r="B95" s="37"/>
      <c r="C95" s="10" t="s">
        <v>104</v>
      </c>
      <c r="D95" s="10"/>
      <c r="E95" s="19" t="s">
        <v>105</v>
      </c>
      <c r="F95" s="159" t="s">
        <v>80</v>
      </c>
      <c r="G95" s="303"/>
      <c r="H95" s="268"/>
      <c r="J95" s="487"/>
      <c r="K95" s="487"/>
      <c r="L95" s="491"/>
      <c r="M95" s="487"/>
      <c r="N95" s="487"/>
      <c r="O95" s="487"/>
      <c r="P95" s="487"/>
      <c r="Q95" s="237"/>
      <c r="R95" s="237"/>
      <c r="S95" s="237"/>
      <c r="T95" s="237"/>
      <c r="U95" s="102"/>
      <c r="V95" s="102"/>
      <c r="W95" s="102"/>
      <c r="X95" s="102"/>
      <c r="Y95" s="102"/>
    </row>
    <row r="96" spans="1:25" x14ac:dyDescent="0.2">
      <c r="A96" s="225">
        <v>56</v>
      </c>
      <c r="B96" s="37"/>
      <c r="C96" s="86" t="s">
        <v>283</v>
      </c>
      <c r="D96" s="10"/>
      <c r="E96" s="19"/>
      <c r="F96" s="159"/>
      <c r="G96" s="303"/>
      <c r="H96" s="268"/>
      <c r="I96" s="490"/>
      <c r="J96" s="487"/>
      <c r="K96" s="487"/>
      <c r="L96" s="491"/>
      <c r="M96" s="487"/>
      <c r="N96" s="487"/>
      <c r="O96" s="487"/>
      <c r="P96" s="487"/>
      <c r="Q96" s="237"/>
      <c r="R96" s="237"/>
      <c r="S96" s="237"/>
      <c r="T96" s="237"/>
      <c r="U96" s="102"/>
      <c r="V96" s="102"/>
      <c r="W96" s="102"/>
      <c r="X96" s="102"/>
      <c r="Y96" s="102"/>
    </row>
    <row r="97" spans="1:25" x14ac:dyDescent="0.2">
      <c r="A97" s="225">
        <v>57</v>
      </c>
      <c r="B97" s="37"/>
      <c r="C97" s="10" t="s">
        <v>446</v>
      </c>
      <c r="D97" s="10"/>
      <c r="E97" s="19">
        <v>150</v>
      </c>
      <c r="F97" s="159">
        <v>1100</v>
      </c>
      <c r="G97" s="303">
        <f>+'KIPP Assumptions'!E$97*J97*(1.0765)</f>
        <v>73202</v>
      </c>
      <c r="H97" s="268" t="s">
        <v>517</v>
      </c>
      <c r="I97" s="490">
        <f>'KIPP Assumptions'!E97</f>
        <v>17</v>
      </c>
      <c r="J97" s="491">
        <f>+'Yr 3 Operating Statement of Act'!J97*(1+'Operating Statement of Act'!$M$97)</f>
        <v>4000</v>
      </c>
      <c r="K97" s="487"/>
      <c r="L97" s="491"/>
      <c r="M97" s="487"/>
      <c r="N97" s="487"/>
      <c r="O97" s="487"/>
      <c r="P97" s="487"/>
      <c r="Q97" s="237"/>
      <c r="R97" s="237"/>
      <c r="S97" s="237"/>
      <c r="T97" s="237"/>
      <c r="U97" s="102"/>
      <c r="V97" s="102"/>
      <c r="W97" s="102"/>
      <c r="X97" s="102"/>
      <c r="Y97" s="102"/>
    </row>
    <row r="98" spans="1:25" x14ac:dyDescent="0.2">
      <c r="A98" s="225">
        <v>58</v>
      </c>
      <c r="B98" s="37"/>
      <c r="C98" s="86"/>
      <c r="D98" s="10"/>
      <c r="E98" s="19"/>
      <c r="F98" s="159"/>
      <c r="G98" s="303"/>
      <c r="H98" s="268"/>
      <c r="I98" s="490"/>
      <c r="J98" s="487"/>
      <c r="K98" s="487"/>
      <c r="L98" s="491"/>
      <c r="M98" s="487"/>
      <c r="N98" s="487"/>
      <c r="O98" s="487"/>
      <c r="P98" s="487"/>
      <c r="Q98" s="237"/>
      <c r="R98" s="237"/>
      <c r="S98" s="237"/>
      <c r="T98" s="237"/>
      <c r="U98" s="102"/>
      <c r="V98" s="102"/>
      <c r="W98" s="102"/>
      <c r="X98" s="102"/>
      <c r="Y98" s="102"/>
    </row>
    <row r="99" spans="1:25" x14ac:dyDescent="0.2">
      <c r="A99" s="225">
        <v>59</v>
      </c>
      <c r="D99" s="14"/>
      <c r="E99" s="15"/>
      <c r="F99" s="167"/>
      <c r="G99" s="315"/>
      <c r="H99" s="283"/>
      <c r="I99" s="490"/>
      <c r="J99" s="487"/>
      <c r="K99" s="487"/>
      <c r="L99" s="491"/>
      <c r="M99" s="487"/>
      <c r="N99" s="487"/>
      <c r="O99" s="487"/>
      <c r="P99" s="487"/>
      <c r="Q99" s="237"/>
      <c r="R99" s="237"/>
      <c r="S99" s="237"/>
      <c r="T99" s="237"/>
      <c r="U99" s="102"/>
      <c r="V99" s="102"/>
      <c r="W99" s="102"/>
      <c r="X99" s="102"/>
      <c r="Y99" s="102"/>
    </row>
    <row r="100" spans="1:25" ht="15" x14ac:dyDescent="0.25">
      <c r="A100" s="226">
        <v>60</v>
      </c>
      <c r="B100" s="88" t="s">
        <v>106</v>
      </c>
      <c r="C100" s="52"/>
      <c r="D100" s="52"/>
      <c r="E100" s="50"/>
      <c r="F100" s="163"/>
      <c r="G100" s="306">
        <f>SUM(G78:G99)</f>
        <v>2151522.3049689233</v>
      </c>
      <c r="H100" s="271"/>
      <c r="I100" s="490"/>
      <c r="J100" s="487"/>
      <c r="K100" s="487"/>
      <c r="L100" s="491"/>
      <c r="M100" s="487"/>
      <c r="N100" s="487"/>
      <c r="O100" s="487"/>
      <c r="P100" s="487"/>
      <c r="Q100" s="237"/>
      <c r="R100" s="237"/>
      <c r="S100" s="237"/>
      <c r="T100" s="237"/>
      <c r="U100" s="102"/>
      <c r="V100" s="102"/>
      <c r="W100" s="102"/>
      <c r="X100" s="102"/>
      <c r="Y100" s="102"/>
    </row>
    <row r="101" spans="1:25" x14ac:dyDescent="0.2">
      <c r="A101" s="225"/>
      <c r="D101" s="14"/>
      <c r="E101" s="15"/>
      <c r="F101" s="167"/>
      <c r="G101" s="315"/>
      <c r="H101" s="283"/>
      <c r="I101" s="490"/>
      <c r="J101" s="487"/>
      <c r="K101" s="487"/>
      <c r="L101" s="491"/>
      <c r="M101" s="487"/>
      <c r="N101" s="487"/>
      <c r="O101" s="487"/>
      <c r="P101" s="487"/>
      <c r="Q101" s="237"/>
      <c r="R101" s="237"/>
      <c r="S101" s="237"/>
      <c r="T101" s="237"/>
      <c r="U101" s="102"/>
      <c r="V101" s="102"/>
      <c r="W101" s="102"/>
      <c r="X101" s="102"/>
      <c r="Y101" s="102"/>
    </row>
    <row r="102" spans="1:25" s="5" customFormat="1" ht="15" x14ac:dyDescent="0.25">
      <c r="A102" s="227"/>
      <c r="B102" s="91" t="s">
        <v>14</v>
      </c>
      <c r="C102" s="56"/>
      <c r="D102" s="60"/>
      <c r="E102" s="64"/>
      <c r="F102" s="168"/>
      <c r="G102" s="316"/>
      <c r="H102" s="284"/>
      <c r="I102" s="490"/>
      <c r="J102" s="489"/>
      <c r="K102" s="489"/>
      <c r="L102" s="491"/>
      <c r="M102" s="489"/>
      <c r="N102" s="489"/>
      <c r="O102" s="489"/>
      <c r="P102" s="489"/>
      <c r="Q102" s="244"/>
      <c r="R102" s="244"/>
      <c r="S102" s="244"/>
      <c r="T102" s="244"/>
      <c r="U102" s="240"/>
      <c r="V102" s="240"/>
      <c r="W102" s="240"/>
      <c r="X102" s="240"/>
      <c r="Y102" s="240"/>
    </row>
    <row r="103" spans="1:25" s="5" customFormat="1" ht="15" x14ac:dyDescent="0.25">
      <c r="A103" s="228"/>
      <c r="B103" s="90" t="s">
        <v>15</v>
      </c>
      <c r="C103" s="57"/>
      <c r="D103" s="61"/>
      <c r="E103" s="66"/>
      <c r="F103" s="169"/>
      <c r="G103" s="317"/>
      <c r="H103" s="285"/>
      <c r="I103" s="490"/>
      <c r="J103" s="489"/>
      <c r="K103" s="489"/>
      <c r="L103" s="491"/>
      <c r="M103" s="489"/>
      <c r="N103" s="489"/>
      <c r="O103" s="489"/>
      <c r="P103" s="489"/>
      <c r="Q103" s="244"/>
      <c r="R103" s="244"/>
      <c r="S103" s="244"/>
      <c r="T103" s="244"/>
      <c r="U103" s="240"/>
      <c r="V103" s="240"/>
      <c r="W103" s="240"/>
      <c r="X103" s="240"/>
      <c r="Y103" s="240"/>
    </row>
    <row r="104" spans="1:25" x14ac:dyDescent="0.2">
      <c r="A104" s="225"/>
      <c r="B104" s="10"/>
      <c r="C104" s="10" t="s">
        <v>76</v>
      </c>
      <c r="D104" s="14"/>
      <c r="E104" s="62"/>
      <c r="F104" s="158"/>
      <c r="G104" s="302"/>
      <c r="H104" s="267"/>
      <c r="I104" s="490"/>
      <c r="J104" s="487"/>
      <c r="K104" s="487"/>
      <c r="L104" s="491"/>
      <c r="M104" s="487"/>
      <c r="N104" s="487"/>
      <c r="O104" s="487"/>
      <c r="P104" s="487"/>
      <c r="Q104" s="237"/>
      <c r="R104" s="237"/>
      <c r="S104" s="237"/>
      <c r="T104" s="237"/>
      <c r="U104" s="102"/>
      <c r="V104" s="102"/>
      <c r="W104" s="102"/>
      <c r="X104" s="102"/>
      <c r="Y104" s="102"/>
    </row>
    <row r="105" spans="1:25" x14ac:dyDescent="0.2">
      <c r="A105" s="225">
        <v>61</v>
      </c>
      <c r="B105" s="37"/>
      <c r="C105" s="10"/>
      <c r="D105" s="10" t="s">
        <v>117</v>
      </c>
      <c r="E105" s="19" t="s">
        <v>77</v>
      </c>
      <c r="F105" s="159" t="s">
        <v>107</v>
      </c>
      <c r="G105" s="303">
        <f>+I105*J105</f>
        <v>383446.37581250007</v>
      </c>
      <c r="H105" s="268" t="s">
        <v>517</v>
      </c>
      <c r="I105" s="493">
        <f>SUM('KIPP Assumptions'!E86:E87)</f>
        <v>8</v>
      </c>
      <c r="J105" s="314">
        <f>+'Yr 3 Operating Statement of Act'!J105*(1+'Operating Statement of Act'!$M$79)</f>
        <v>47930.796976562509</v>
      </c>
      <c r="K105" s="487"/>
      <c r="L105" s="491"/>
      <c r="M105" s="487"/>
      <c r="N105" s="487"/>
      <c r="O105" s="487"/>
      <c r="P105" s="487"/>
      <c r="Q105" s="237"/>
      <c r="R105" s="237"/>
      <c r="S105" s="237"/>
      <c r="T105" s="237"/>
      <c r="U105" s="102"/>
      <c r="V105" s="102"/>
      <c r="W105" s="102"/>
      <c r="X105" s="102"/>
      <c r="Y105" s="102"/>
    </row>
    <row r="106" spans="1:25" x14ac:dyDescent="0.2">
      <c r="A106" s="225">
        <v>62</v>
      </c>
      <c r="B106" s="37"/>
      <c r="C106" s="10"/>
      <c r="D106" s="10" t="s">
        <v>285</v>
      </c>
      <c r="E106" s="19" t="s">
        <v>108</v>
      </c>
      <c r="F106" s="159" t="s">
        <v>107</v>
      </c>
      <c r="G106" s="303">
        <f t="shared" ref="G106:G107" si="1">+I106*J106</f>
        <v>139578.69449218753</v>
      </c>
      <c r="H106" s="268" t="s">
        <v>517</v>
      </c>
      <c r="I106" s="493">
        <f>SUM('KIPP Assumptions'!E89:E90)</f>
        <v>2.5</v>
      </c>
      <c r="J106" s="314">
        <f>+'Yr 3 Operating Statement of Act'!J106*(1+'Operating Statement of Act'!$M$79)</f>
        <v>55831.477796875013</v>
      </c>
      <c r="K106" s="487"/>
      <c r="L106" s="491"/>
      <c r="M106" s="487"/>
      <c r="N106" s="487"/>
      <c r="O106" s="487"/>
      <c r="P106" s="487"/>
      <c r="Q106" s="237"/>
      <c r="R106" s="237"/>
      <c r="S106" s="237"/>
      <c r="T106" s="237"/>
      <c r="U106" s="102"/>
      <c r="V106" s="102"/>
      <c r="W106" s="102"/>
      <c r="X106" s="102"/>
      <c r="Y106" s="102"/>
    </row>
    <row r="107" spans="1:25" x14ac:dyDescent="0.2">
      <c r="A107" s="225">
        <v>63</v>
      </c>
      <c r="B107" s="37"/>
      <c r="C107" s="10"/>
      <c r="D107" s="10" t="s">
        <v>78</v>
      </c>
      <c r="E107" s="19" t="s">
        <v>79</v>
      </c>
      <c r="F107" s="159" t="s">
        <v>107</v>
      </c>
      <c r="G107" s="303">
        <f t="shared" si="1"/>
        <v>94808.169843750016</v>
      </c>
      <c r="H107" s="268" t="s">
        <v>517</v>
      </c>
      <c r="I107" s="490">
        <f>+'KIPP Assumptions'!E$88</f>
        <v>3</v>
      </c>
      <c r="J107" s="314">
        <f>+'Yr 3 Operating Statement of Act'!J107*(1+'Operating Statement of Act'!$M$79)</f>
        <v>31602.723281250008</v>
      </c>
      <c r="K107" s="487"/>
      <c r="L107" s="491"/>
      <c r="M107" s="487"/>
      <c r="N107" s="487"/>
      <c r="O107" s="487"/>
      <c r="P107" s="487"/>
      <c r="Q107" s="237"/>
      <c r="R107" s="237"/>
      <c r="S107" s="237"/>
      <c r="T107" s="237"/>
      <c r="U107" s="102"/>
      <c r="V107" s="102"/>
      <c r="W107" s="102"/>
      <c r="X107" s="102"/>
      <c r="Y107" s="102"/>
    </row>
    <row r="108" spans="1:25" x14ac:dyDescent="0.2">
      <c r="A108" s="225">
        <v>64</v>
      </c>
      <c r="B108" s="37"/>
      <c r="C108" s="10"/>
      <c r="D108" s="10" t="s">
        <v>81</v>
      </c>
      <c r="E108" s="19" t="s">
        <v>82</v>
      </c>
      <c r="F108" s="159" t="s">
        <v>107</v>
      </c>
      <c r="G108" s="303">
        <v>0</v>
      </c>
      <c r="H108" s="268" t="s">
        <v>517</v>
      </c>
      <c r="I108" s="490">
        <v>0</v>
      </c>
      <c r="J108" s="314"/>
      <c r="K108" s="487"/>
      <c r="L108" s="491"/>
      <c r="M108" s="487"/>
      <c r="N108" s="487"/>
      <c r="O108" s="487"/>
      <c r="P108" s="487"/>
      <c r="Q108" s="237"/>
      <c r="R108" s="237"/>
      <c r="S108" s="237"/>
      <c r="T108" s="237"/>
      <c r="U108" s="102"/>
      <c r="V108" s="102"/>
      <c r="W108" s="102"/>
      <c r="X108" s="102"/>
      <c r="Y108" s="102"/>
    </row>
    <row r="109" spans="1:25" x14ac:dyDescent="0.2">
      <c r="A109" s="225">
        <v>65</v>
      </c>
      <c r="B109" s="37"/>
      <c r="C109" s="10" t="s">
        <v>83</v>
      </c>
      <c r="D109" s="10"/>
      <c r="E109" s="19" t="s">
        <v>84</v>
      </c>
      <c r="F109" s="159" t="s">
        <v>107</v>
      </c>
      <c r="G109" s="303">
        <v>134623.47757935486</v>
      </c>
      <c r="H109" s="268" t="s">
        <v>444</v>
      </c>
      <c r="I109" s="490"/>
      <c r="J109" s="491"/>
      <c r="K109" s="487"/>
      <c r="L109" s="491"/>
      <c r="M109" s="487"/>
      <c r="N109" s="487"/>
      <c r="O109" s="487"/>
      <c r="P109" s="487"/>
      <c r="Q109" s="237"/>
      <c r="R109" s="237"/>
      <c r="S109" s="237"/>
      <c r="T109" s="237"/>
      <c r="U109" s="102"/>
      <c r="V109" s="102"/>
      <c r="W109" s="102"/>
      <c r="X109" s="102"/>
      <c r="Y109" s="102"/>
    </row>
    <row r="110" spans="1:25" x14ac:dyDescent="0.2">
      <c r="A110" s="225">
        <v>66</v>
      </c>
      <c r="B110" s="37"/>
      <c r="C110" s="10" t="s">
        <v>85</v>
      </c>
      <c r="D110" s="10"/>
      <c r="E110" s="19">
        <v>430</v>
      </c>
      <c r="F110" s="159">
        <v>1210</v>
      </c>
      <c r="G110" s="303"/>
      <c r="H110" s="268"/>
      <c r="I110" s="490"/>
      <c r="J110" s="487"/>
      <c r="K110" s="487"/>
      <c r="L110" s="491"/>
      <c r="M110" s="487"/>
      <c r="N110" s="487"/>
      <c r="O110" s="487"/>
      <c r="P110" s="487"/>
      <c r="Q110" s="237"/>
      <c r="R110" s="237"/>
      <c r="S110" s="237"/>
      <c r="T110" s="237"/>
      <c r="U110" s="102"/>
      <c r="V110" s="102"/>
      <c r="W110" s="102"/>
      <c r="X110" s="102"/>
      <c r="Y110" s="102"/>
    </row>
    <row r="111" spans="1:25" x14ac:dyDescent="0.2">
      <c r="A111" s="225">
        <v>67</v>
      </c>
      <c r="B111" s="37"/>
      <c r="C111" s="10" t="s">
        <v>87</v>
      </c>
      <c r="D111" s="10"/>
      <c r="E111" s="19" t="s">
        <v>88</v>
      </c>
      <c r="F111" s="159" t="s">
        <v>107</v>
      </c>
      <c r="G111" s="303"/>
      <c r="H111" s="268"/>
      <c r="I111" s="490"/>
      <c r="J111" s="487"/>
      <c r="K111" s="487"/>
      <c r="L111" s="491"/>
      <c r="M111" s="487"/>
      <c r="N111" s="487"/>
      <c r="O111" s="487"/>
      <c r="P111" s="487"/>
      <c r="Q111" s="237"/>
      <c r="R111" s="237"/>
      <c r="S111" s="237"/>
      <c r="T111" s="237"/>
      <c r="U111" s="102"/>
      <c r="V111" s="102"/>
      <c r="W111" s="102"/>
      <c r="X111" s="102"/>
      <c r="Y111" s="102"/>
    </row>
    <row r="112" spans="1:25" x14ac:dyDescent="0.2">
      <c r="A112" s="225"/>
      <c r="B112" s="37"/>
      <c r="C112" s="10" t="s">
        <v>109</v>
      </c>
      <c r="D112" s="10"/>
      <c r="E112" s="62"/>
      <c r="F112" s="158"/>
      <c r="G112" s="302"/>
      <c r="H112" s="267"/>
      <c r="I112" s="490"/>
      <c r="J112" s="487"/>
      <c r="K112" s="487"/>
      <c r="L112" s="491"/>
      <c r="M112" s="487"/>
      <c r="N112" s="487"/>
      <c r="O112" s="487"/>
      <c r="P112" s="487"/>
      <c r="Q112" s="237"/>
      <c r="R112" s="237"/>
      <c r="S112" s="237"/>
      <c r="T112" s="237"/>
      <c r="U112" s="102"/>
      <c r="V112" s="102"/>
      <c r="W112" s="102"/>
      <c r="X112" s="102"/>
      <c r="Y112" s="102"/>
    </row>
    <row r="113" spans="1:25" x14ac:dyDescent="0.2">
      <c r="A113" s="225">
        <v>68</v>
      </c>
      <c r="B113" s="37"/>
      <c r="C113" s="10"/>
      <c r="D113" s="10" t="s">
        <v>110</v>
      </c>
      <c r="E113" s="19" t="s">
        <v>90</v>
      </c>
      <c r="F113" s="159" t="s">
        <v>107</v>
      </c>
      <c r="G113" s="303">
        <v>23599.468712903228</v>
      </c>
      <c r="H113" s="268" t="s">
        <v>431</v>
      </c>
      <c r="I113" s="490"/>
      <c r="J113" s="491"/>
      <c r="K113" s="487"/>
      <c r="L113" s="491"/>
      <c r="M113" s="487"/>
      <c r="N113" s="487"/>
      <c r="O113" s="487"/>
      <c r="P113" s="487"/>
      <c r="Q113" s="237"/>
      <c r="R113" s="237"/>
      <c r="S113" s="237"/>
      <c r="T113" s="237"/>
      <c r="U113" s="102"/>
      <c r="V113" s="102"/>
      <c r="W113" s="102"/>
      <c r="X113" s="102"/>
      <c r="Y113" s="102"/>
    </row>
    <row r="114" spans="1:25" x14ac:dyDescent="0.2">
      <c r="A114" s="225">
        <v>69</v>
      </c>
      <c r="B114" s="37"/>
      <c r="C114" s="10"/>
      <c r="D114" s="10" t="s">
        <v>91</v>
      </c>
      <c r="E114" s="19" t="s">
        <v>92</v>
      </c>
      <c r="F114" s="159" t="s">
        <v>107</v>
      </c>
      <c r="G114" s="303">
        <v>0</v>
      </c>
      <c r="H114" s="268" t="s">
        <v>514</v>
      </c>
      <c r="I114" s="490"/>
      <c r="J114" s="491"/>
      <c r="K114" s="487"/>
      <c r="L114" s="491"/>
      <c r="M114" s="487"/>
      <c r="N114" s="487"/>
      <c r="O114" s="487"/>
      <c r="P114" s="487"/>
      <c r="Q114" s="237"/>
      <c r="R114" s="237"/>
      <c r="S114" s="237"/>
      <c r="T114" s="237"/>
      <c r="U114" s="102"/>
      <c r="V114" s="102"/>
      <c r="W114" s="102"/>
      <c r="X114" s="102"/>
      <c r="Y114" s="102"/>
    </row>
    <row r="115" spans="1:25" x14ac:dyDescent="0.2">
      <c r="A115" s="225">
        <v>70</v>
      </c>
      <c r="B115" s="37"/>
      <c r="C115" s="10" t="s">
        <v>93</v>
      </c>
      <c r="D115" s="10"/>
      <c r="E115" s="19" t="s">
        <v>94</v>
      </c>
      <c r="F115" s="159" t="s">
        <v>107</v>
      </c>
      <c r="G115" s="303"/>
      <c r="H115" s="268"/>
      <c r="I115" s="490"/>
      <c r="J115" s="487"/>
      <c r="K115" s="487"/>
      <c r="L115" s="491"/>
      <c r="M115" s="487"/>
      <c r="N115" s="487"/>
      <c r="O115" s="487"/>
      <c r="P115" s="487"/>
      <c r="Q115" s="237"/>
      <c r="R115" s="237"/>
      <c r="S115" s="237"/>
      <c r="T115" s="237"/>
      <c r="U115" s="102"/>
      <c r="V115" s="102"/>
      <c r="W115" s="102"/>
      <c r="X115" s="102"/>
      <c r="Y115" s="102"/>
    </row>
    <row r="116" spans="1:25" x14ac:dyDescent="0.2">
      <c r="A116" s="225">
        <v>71</v>
      </c>
      <c r="B116" s="37"/>
      <c r="C116" s="10" t="s">
        <v>95</v>
      </c>
      <c r="D116" s="10"/>
      <c r="E116" s="19" t="s">
        <v>96</v>
      </c>
      <c r="F116" s="159" t="s">
        <v>107</v>
      </c>
      <c r="G116" s="303"/>
      <c r="H116" s="268"/>
      <c r="I116" s="490"/>
      <c r="J116" s="487"/>
      <c r="K116" s="487"/>
      <c r="L116" s="491"/>
      <c r="M116" s="487"/>
      <c r="N116" s="487"/>
      <c r="O116" s="487"/>
      <c r="P116" s="487"/>
      <c r="Q116" s="237"/>
      <c r="R116" s="237"/>
      <c r="S116" s="237"/>
      <c r="T116" s="237"/>
      <c r="U116" s="102"/>
      <c r="V116" s="102"/>
      <c r="W116" s="102"/>
      <c r="X116" s="102"/>
      <c r="Y116" s="102"/>
    </row>
    <row r="117" spans="1:25" x14ac:dyDescent="0.2">
      <c r="A117" s="225">
        <v>72</v>
      </c>
      <c r="B117" s="37"/>
      <c r="C117" s="10" t="s">
        <v>295</v>
      </c>
      <c r="D117" s="10"/>
      <c r="E117" s="19" t="s">
        <v>97</v>
      </c>
      <c r="F117" s="159" t="s">
        <v>34</v>
      </c>
      <c r="G117" s="303">
        <f>+SUM(G$105:G$108)*$I117</f>
        <v>43726.118315103027</v>
      </c>
      <c r="H117" s="268"/>
      <c r="I117" s="492">
        <f>'KIPP Assumptions'!$B$105+'KIPP Assumptions'!$B$106+'KIPP Assumptions'!$B$107+'KIPP Assumptions'!$B$108+'KIPP Assumptions'!$B$109</f>
        <v>7.0773334087038758E-2</v>
      </c>
      <c r="J117" s="487"/>
      <c r="K117" s="487"/>
      <c r="L117" s="491"/>
      <c r="M117" s="487"/>
      <c r="N117" s="487"/>
      <c r="O117" s="487"/>
      <c r="P117" s="487"/>
      <c r="Q117" s="237"/>
      <c r="R117" s="237"/>
      <c r="S117" s="237"/>
      <c r="T117" s="237"/>
      <c r="U117" s="102"/>
      <c r="V117" s="102"/>
      <c r="W117" s="102"/>
      <c r="X117" s="102"/>
      <c r="Y117" s="102"/>
    </row>
    <row r="118" spans="1:25" x14ac:dyDescent="0.2">
      <c r="A118" s="225">
        <v>73</v>
      </c>
      <c r="B118" s="37"/>
      <c r="C118" s="10" t="s">
        <v>98</v>
      </c>
      <c r="D118" s="10"/>
      <c r="E118" s="19" t="s">
        <v>99</v>
      </c>
      <c r="F118" s="159" t="s">
        <v>34</v>
      </c>
      <c r="G118" s="303">
        <f t="shared" ref="G118:G121" si="2">+SUM(G$105:G$108)*$I118</f>
        <v>38305.660889203136</v>
      </c>
      <c r="H118" s="268"/>
      <c r="I118" s="492">
        <f>'KIPP Assumptions'!$B$111</f>
        <v>6.2E-2</v>
      </c>
      <c r="J118" s="487"/>
      <c r="K118" s="487"/>
      <c r="L118" s="491"/>
      <c r="M118" s="487"/>
      <c r="N118" s="487"/>
      <c r="O118" s="487"/>
      <c r="P118" s="487"/>
      <c r="Q118" s="237"/>
      <c r="R118" s="237"/>
      <c r="S118" s="237"/>
      <c r="T118" s="237"/>
      <c r="U118" s="102"/>
      <c r="V118" s="102"/>
      <c r="W118" s="102"/>
      <c r="X118" s="102"/>
      <c r="Y118" s="102"/>
    </row>
    <row r="119" spans="1:25" x14ac:dyDescent="0.2">
      <c r="A119" s="225">
        <v>74</v>
      </c>
      <c r="B119" s="37"/>
      <c r="C119" s="10" t="s">
        <v>100</v>
      </c>
      <c r="D119" s="10"/>
      <c r="E119" s="19" t="s">
        <v>101</v>
      </c>
      <c r="F119" s="159" t="s">
        <v>34</v>
      </c>
      <c r="G119" s="303">
        <f t="shared" si="2"/>
        <v>8958.5819821523473</v>
      </c>
      <c r="H119" s="268"/>
      <c r="I119" s="492">
        <f>'KIPP Assumptions'!$B$110</f>
        <v>1.4500000000000001E-2</v>
      </c>
      <c r="J119" s="487"/>
      <c r="K119" s="487"/>
      <c r="L119" s="491"/>
      <c r="M119" s="487"/>
      <c r="N119" s="487"/>
      <c r="O119" s="487"/>
      <c r="P119" s="487"/>
      <c r="Q119" s="237"/>
      <c r="R119" s="237"/>
      <c r="S119" s="237"/>
      <c r="T119" s="237"/>
      <c r="U119" s="102"/>
      <c r="V119" s="102"/>
      <c r="W119" s="102"/>
      <c r="X119" s="102"/>
      <c r="Y119" s="102"/>
    </row>
    <row r="120" spans="1:25" x14ac:dyDescent="0.2">
      <c r="A120" s="225">
        <v>75</v>
      </c>
      <c r="B120" s="37"/>
      <c r="C120" s="10" t="s">
        <v>219</v>
      </c>
      <c r="D120" s="10"/>
      <c r="E120" s="19" t="s">
        <v>220</v>
      </c>
      <c r="F120" s="159">
        <v>1200</v>
      </c>
      <c r="G120" s="303">
        <f t="shared" si="2"/>
        <v>19850.41781376204</v>
      </c>
      <c r="H120" s="268"/>
      <c r="I120" s="492">
        <f>+'KIPP Assumptions'!$B$113</f>
        <v>3.21290868212155E-2</v>
      </c>
      <c r="J120" s="487"/>
      <c r="K120" s="487"/>
      <c r="L120" s="491"/>
      <c r="M120" s="487"/>
      <c r="N120" s="487"/>
      <c r="O120" s="487"/>
      <c r="P120" s="487"/>
      <c r="Q120" s="237"/>
      <c r="R120" s="237"/>
      <c r="S120" s="237"/>
      <c r="T120" s="237"/>
      <c r="U120" s="102"/>
      <c r="V120" s="102"/>
      <c r="W120" s="102"/>
      <c r="X120" s="102"/>
      <c r="Y120" s="102"/>
    </row>
    <row r="121" spans="1:25" x14ac:dyDescent="0.2">
      <c r="A121" s="225">
        <v>76</v>
      </c>
      <c r="B121" s="37"/>
      <c r="C121" s="10" t="s">
        <v>102</v>
      </c>
      <c r="D121" s="10"/>
      <c r="E121" s="19" t="s">
        <v>103</v>
      </c>
      <c r="F121" s="159" t="s">
        <v>34</v>
      </c>
      <c r="G121" s="303">
        <f t="shared" si="2"/>
        <v>617.83324014843765</v>
      </c>
      <c r="H121" s="268"/>
      <c r="I121" s="492">
        <f>+'KIPP Assumptions'!$B$112</f>
        <v>1E-3</v>
      </c>
      <c r="J121" s="487"/>
      <c r="K121" s="487"/>
      <c r="L121" s="491"/>
      <c r="M121" s="487"/>
      <c r="N121" s="487"/>
      <c r="O121" s="487"/>
      <c r="P121" s="487"/>
      <c r="Q121" s="237"/>
      <c r="R121" s="237"/>
      <c r="S121" s="237"/>
      <c r="T121" s="237"/>
      <c r="U121" s="102"/>
      <c r="V121" s="102"/>
      <c r="W121" s="102"/>
      <c r="X121" s="102"/>
      <c r="Y121" s="102"/>
    </row>
    <row r="122" spans="1:25" x14ac:dyDescent="0.2">
      <c r="A122" s="225">
        <v>77</v>
      </c>
      <c r="B122" s="37"/>
      <c r="C122" s="10" t="s">
        <v>104</v>
      </c>
      <c r="D122" s="10"/>
      <c r="E122" s="19" t="s">
        <v>105</v>
      </c>
      <c r="F122" s="159" t="s">
        <v>34</v>
      </c>
      <c r="G122" s="303"/>
      <c r="H122" s="268"/>
      <c r="I122" s="490"/>
      <c r="J122" s="487"/>
      <c r="K122" s="487"/>
      <c r="L122" s="491"/>
      <c r="M122" s="487"/>
      <c r="N122" s="487"/>
      <c r="O122" s="487"/>
      <c r="P122" s="487"/>
      <c r="Q122" s="237"/>
      <c r="R122" s="237"/>
      <c r="S122" s="237"/>
      <c r="T122" s="237"/>
      <c r="U122" s="102"/>
      <c r="V122" s="102"/>
      <c r="W122" s="102"/>
      <c r="X122" s="102"/>
      <c r="Y122" s="102"/>
    </row>
    <row r="123" spans="1:25" x14ac:dyDescent="0.2">
      <c r="A123" s="225">
        <v>78</v>
      </c>
      <c r="B123" s="37"/>
      <c r="C123" s="86" t="s">
        <v>283</v>
      </c>
      <c r="D123" s="10"/>
      <c r="E123" s="19"/>
      <c r="F123" s="159"/>
      <c r="G123" s="303"/>
      <c r="H123" s="268"/>
      <c r="I123" s="490"/>
      <c r="J123" s="487"/>
      <c r="K123" s="487"/>
      <c r="L123" s="491"/>
      <c r="M123" s="487"/>
      <c r="N123" s="487"/>
      <c r="O123" s="487"/>
      <c r="P123" s="487"/>
      <c r="Q123" s="237"/>
      <c r="R123" s="237"/>
      <c r="S123" s="237"/>
      <c r="T123" s="237"/>
      <c r="U123" s="102"/>
      <c r="V123" s="102"/>
      <c r="W123" s="102"/>
      <c r="X123" s="102"/>
      <c r="Y123" s="102"/>
    </row>
    <row r="124" spans="1:25" x14ac:dyDescent="0.2">
      <c r="A124" s="225">
        <v>79</v>
      </c>
      <c r="B124" s="37"/>
      <c r="C124" s="86"/>
      <c r="D124" s="10"/>
      <c r="E124" s="19"/>
      <c r="F124" s="159"/>
      <c r="G124" s="303"/>
      <c r="H124" s="268"/>
      <c r="I124" s="490"/>
      <c r="J124" s="487"/>
      <c r="K124" s="487"/>
      <c r="L124" s="491"/>
      <c r="M124" s="487"/>
      <c r="N124" s="487"/>
      <c r="O124" s="487"/>
      <c r="P124" s="487"/>
      <c r="Q124" s="237"/>
      <c r="R124" s="237"/>
      <c r="S124" s="237"/>
      <c r="T124" s="237"/>
      <c r="U124" s="102"/>
      <c r="V124" s="102"/>
      <c r="W124" s="102"/>
      <c r="X124" s="102"/>
      <c r="Y124" s="102"/>
    </row>
    <row r="125" spans="1:25" x14ac:dyDescent="0.2">
      <c r="A125" s="225">
        <v>80</v>
      </c>
      <c r="B125" s="37"/>
      <c r="C125" s="86"/>
      <c r="D125" s="10"/>
      <c r="E125" s="19"/>
      <c r="F125" s="159"/>
      <c r="G125" s="303"/>
      <c r="H125" s="268"/>
      <c r="I125" s="490"/>
      <c r="J125" s="487"/>
      <c r="K125" s="487"/>
      <c r="L125" s="491"/>
      <c r="M125" s="487"/>
      <c r="N125" s="487"/>
      <c r="O125" s="487"/>
      <c r="P125" s="487"/>
      <c r="Q125" s="237"/>
      <c r="R125" s="237"/>
      <c r="S125" s="237"/>
      <c r="T125" s="237"/>
      <c r="U125" s="102"/>
      <c r="V125" s="102"/>
      <c r="W125" s="102"/>
      <c r="X125" s="102"/>
      <c r="Y125" s="102"/>
    </row>
    <row r="126" spans="1:25" x14ac:dyDescent="0.2">
      <c r="A126" s="225">
        <v>81</v>
      </c>
      <c r="D126" s="14"/>
      <c r="E126" s="15"/>
      <c r="F126" s="167"/>
      <c r="G126" s="315"/>
      <c r="H126" s="283"/>
      <c r="I126" s="490"/>
      <c r="J126" s="487"/>
      <c r="K126" s="487"/>
      <c r="L126" s="491"/>
      <c r="M126" s="487"/>
      <c r="N126" s="487"/>
      <c r="O126" s="487"/>
      <c r="P126" s="487"/>
      <c r="Q126" s="237"/>
      <c r="R126" s="237"/>
      <c r="S126" s="237"/>
      <c r="T126" s="237"/>
      <c r="U126" s="102"/>
      <c r="V126" s="102"/>
      <c r="W126" s="102"/>
      <c r="X126" s="102"/>
      <c r="Y126" s="102"/>
    </row>
    <row r="127" spans="1:25" ht="15" x14ac:dyDescent="0.25">
      <c r="A127" s="226">
        <v>82</v>
      </c>
      <c r="B127" s="88" t="s">
        <v>7</v>
      </c>
      <c r="C127" s="52"/>
      <c r="D127" s="52"/>
      <c r="E127" s="50"/>
      <c r="F127" s="163"/>
      <c r="G127" s="306">
        <f>SUM(G104:G126)</f>
        <v>887514.79868106486</v>
      </c>
      <c r="H127" s="271"/>
      <c r="I127" s="490"/>
      <c r="J127" s="487"/>
      <c r="K127" s="487"/>
      <c r="L127" s="491"/>
      <c r="M127" s="487"/>
      <c r="N127" s="487"/>
      <c r="O127" s="487"/>
      <c r="P127" s="487"/>
      <c r="Q127" s="237"/>
      <c r="R127" s="237"/>
      <c r="S127" s="237"/>
      <c r="T127" s="237"/>
      <c r="U127" s="102"/>
      <c r="V127" s="102"/>
      <c r="W127" s="102"/>
      <c r="X127" s="102"/>
      <c r="Y127" s="102"/>
    </row>
    <row r="128" spans="1:25" x14ac:dyDescent="0.2">
      <c r="A128" s="225"/>
      <c r="D128" s="14"/>
      <c r="E128" s="15"/>
      <c r="F128" s="167"/>
      <c r="G128" s="315"/>
      <c r="H128" s="283"/>
      <c r="I128" s="490"/>
      <c r="J128" s="487"/>
      <c r="K128" s="487"/>
      <c r="L128" s="491"/>
      <c r="M128" s="487"/>
      <c r="N128" s="487"/>
      <c r="O128" s="487"/>
      <c r="P128" s="487"/>
      <c r="Q128" s="237"/>
      <c r="R128" s="237"/>
      <c r="S128" s="237"/>
      <c r="T128" s="237"/>
      <c r="U128" s="102"/>
      <c r="V128" s="102"/>
      <c r="W128" s="102"/>
      <c r="X128" s="102"/>
      <c r="Y128" s="102"/>
    </row>
    <row r="129" spans="1:25" x14ac:dyDescent="0.2">
      <c r="A129" s="223"/>
      <c r="B129" s="112" t="s">
        <v>276</v>
      </c>
      <c r="C129" s="113"/>
      <c r="D129" s="114"/>
      <c r="E129" s="62"/>
      <c r="F129" s="158"/>
      <c r="G129" s="302"/>
      <c r="H129" s="267"/>
      <c r="I129" s="490"/>
      <c r="J129" s="487"/>
      <c r="K129" s="487"/>
      <c r="L129" s="491"/>
      <c r="M129" s="487"/>
      <c r="N129" s="487"/>
      <c r="O129" s="487"/>
      <c r="P129" s="487"/>
      <c r="Q129" s="237"/>
      <c r="R129" s="237"/>
      <c r="S129" s="237"/>
      <c r="T129" s="237"/>
      <c r="U129" s="102"/>
      <c r="V129" s="102"/>
      <c r="W129" s="102"/>
      <c r="X129" s="102"/>
      <c r="Y129" s="102"/>
    </row>
    <row r="130" spans="1:25" s="5" customFormat="1" ht="14.25" customHeight="1" x14ac:dyDescent="0.25">
      <c r="A130" s="228"/>
      <c r="B130" s="90" t="s">
        <v>275</v>
      </c>
      <c r="C130" s="111"/>
      <c r="D130" s="111"/>
      <c r="E130" s="78"/>
      <c r="F130" s="170"/>
      <c r="G130" s="318"/>
      <c r="H130" s="286"/>
      <c r="I130" s="490"/>
      <c r="J130" s="489"/>
      <c r="K130" s="489"/>
      <c r="L130" s="491"/>
      <c r="M130" s="489"/>
      <c r="N130" s="489"/>
      <c r="O130" s="489"/>
      <c r="P130" s="489"/>
      <c r="Q130" s="244"/>
      <c r="R130" s="244"/>
      <c r="S130" s="244"/>
      <c r="T130" s="244"/>
      <c r="U130" s="240"/>
      <c r="V130" s="240"/>
      <c r="W130" s="240"/>
      <c r="X130" s="240"/>
      <c r="Y130" s="240"/>
    </row>
    <row r="131" spans="1:25" s="5" customFormat="1" ht="13.5" customHeight="1" x14ac:dyDescent="0.25">
      <c r="A131" s="225"/>
      <c r="B131" s="80"/>
      <c r="C131" s="10" t="s">
        <v>76</v>
      </c>
      <c r="D131" s="21"/>
      <c r="E131" s="62"/>
      <c r="F131" s="158"/>
      <c r="G131" s="302"/>
      <c r="H131" s="267"/>
      <c r="I131" s="490"/>
      <c r="J131" s="489"/>
      <c r="K131" s="489"/>
      <c r="L131" s="491"/>
      <c r="M131" s="489"/>
      <c r="N131" s="489"/>
      <c r="O131" s="489"/>
      <c r="P131" s="489"/>
      <c r="Q131" s="244"/>
      <c r="R131" s="244"/>
      <c r="S131" s="244"/>
      <c r="T131" s="244"/>
      <c r="U131" s="240"/>
      <c r="V131" s="240"/>
      <c r="W131" s="240"/>
      <c r="X131" s="240"/>
      <c r="Y131" s="240"/>
    </row>
    <row r="132" spans="1:25" x14ac:dyDescent="0.2">
      <c r="A132" s="225">
        <v>83</v>
      </c>
      <c r="B132" s="37"/>
      <c r="C132" s="10"/>
      <c r="D132" s="10" t="s">
        <v>117</v>
      </c>
      <c r="E132" s="19">
        <v>112</v>
      </c>
      <c r="F132" s="159" t="s">
        <v>221</v>
      </c>
      <c r="G132" s="303">
        <f>+I132*J132</f>
        <v>212791.67009375003</v>
      </c>
      <c r="H132" s="268" t="s">
        <v>517</v>
      </c>
      <c r="I132" s="490">
        <f>+'KIPP Assumptions'!E$85</f>
        <v>4</v>
      </c>
      <c r="J132" s="314">
        <f>+'Yr 3 Operating Statement of Act'!J132*(1+'Operating Statement of Act'!$M$79)</f>
        <v>53197.917523437507</v>
      </c>
      <c r="K132" s="487"/>
      <c r="L132" s="491"/>
      <c r="M132" s="487"/>
      <c r="N132" s="487"/>
      <c r="O132" s="487"/>
      <c r="P132" s="487"/>
      <c r="Q132" s="237"/>
      <c r="R132" s="237"/>
      <c r="S132" s="237"/>
      <c r="T132" s="237"/>
      <c r="U132" s="102"/>
      <c r="V132" s="102"/>
      <c r="W132" s="102"/>
      <c r="X132" s="102"/>
      <c r="Y132" s="102"/>
    </row>
    <row r="133" spans="1:25" x14ac:dyDescent="0.2">
      <c r="A133" s="225">
        <v>84</v>
      </c>
      <c r="B133" s="37"/>
      <c r="C133" s="10"/>
      <c r="D133" s="10" t="s">
        <v>78</v>
      </c>
      <c r="E133" s="19">
        <v>115</v>
      </c>
      <c r="F133" s="159" t="s">
        <v>221</v>
      </c>
      <c r="G133" s="303"/>
      <c r="H133" s="268"/>
      <c r="I133" s="490"/>
      <c r="J133" s="487"/>
      <c r="K133" s="487"/>
      <c r="L133" s="491"/>
      <c r="M133" s="487"/>
      <c r="N133" s="487"/>
      <c r="O133" s="487"/>
      <c r="P133" s="487"/>
      <c r="Q133" s="237"/>
      <c r="R133" s="237"/>
      <c r="S133" s="237"/>
      <c r="T133" s="237"/>
      <c r="U133" s="102"/>
      <c r="V133" s="102"/>
      <c r="W133" s="102"/>
      <c r="X133" s="102"/>
      <c r="Y133" s="102"/>
    </row>
    <row r="134" spans="1:25" x14ac:dyDescent="0.2">
      <c r="A134" s="225">
        <v>85</v>
      </c>
      <c r="B134" s="37"/>
      <c r="C134" s="10"/>
      <c r="D134" s="10" t="s">
        <v>81</v>
      </c>
      <c r="E134" s="19">
        <v>123</v>
      </c>
      <c r="F134" s="159" t="s">
        <v>221</v>
      </c>
      <c r="G134" s="303"/>
      <c r="H134" s="268"/>
      <c r="I134" s="490"/>
      <c r="J134" s="487"/>
      <c r="K134" s="487"/>
      <c r="L134" s="491"/>
      <c r="M134" s="487"/>
      <c r="N134" s="487"/>
      <c r="O134" s="487"/>
      <c r="P134" s="487"/>
      <c r="Q134" s="237"/>
      <c r="R134" s="237"/>
      <c r="S134" s="237"/>
      <c r="T134" s="237"/>
      <c r="U134" s="102"/>
      <c r="V134" s="102"/>
      <c r="W134" s="102"/>
      <c r="X134" s="102"/>
      <c r="Y134" s="102"/>
    </row>
    <row r="135" spans="1:25" x14ac:dyDescent="0.2">
      <c r="A135" s="225">
        <v>86</v>
      </c>
      <c r="B135" s="37"/>
      <c r="C135" s="10" t="s">
        <v>83</v>
      </c>
      <c r="D135" s="10"/>
      <c r="E135" s="19" t="s">
        <v>84</v>
      </c>
      <c r="F135" s="159" t="s">
        <v>221</v>
      </c>
      <c r="G135" s="303">
        <v>0</v>
      </c>
      <c r="H135" s="268" t="s">
        <v>445</v>
      </c>
      <c r="I135" s="490"/>
      <c r="J135" s="491"/>
      <c r="K135" s="487"/>
      <c r="L135" s="491"/>
      <c r="M135" s="487"/>
      <c r="N135" s="487"/>
      <c r="O135" s="487"/>
      <c r="P135" s="487"/>
      <c r="Q135" s="237"/>
      <c r="R135" s="237"/>
      <c r="S135" s="237"/>
      <c r="T135" s="237"/>
      <c r="U135" s="102"/>
      <c r="V135" s="102"/>
      <c r="W135" s="102"/>
      <c r="X135" s="102"/>
      <c r="Y135" s="102"/>
    </row>
    <row r="136" spans="1:25" x14ac:dyDescent="0.2">
      <c r="A136" s="225">
        <v>87</v>
      </c>
      <c r="B136" s="37"/>
      <c r="C136" s="10" t="s">
        <v>85</v>
      </c>
      <c r="D136" s="10"/>
      <c r="E136" s="19">
        <v>430</v>
      </c>
      <c r="F136" s="159" t="s">
        <v>221</v>
      </c>
      <c r="G136" s="303"/>
      <c r="H136" s="268"/>
      <c r="I136" s="490"/>
      <c r="J136" s="487"/>
      <c r="K136" s="487"/>
      <c r="L136" s="491"/>
      <c r="M136" s="487"/>
      <c r="N136" s="487"/>
      <c r="O136" s="487"/>
      <c r="P136" s="487"/>
      <c r="Q136" s="237"/>
      <c r="R136" s="237"/>
      <c r="S136" s="237"/>
      <c r="T136" s="237"/>
      <c r="U136" s="102"/>
      <c r="V136" s="102"/>
      <c r="W136" s="102"/>
      <c r="X136" s="102"/>
      <c r="Y136" s="102"/>
    </row>
    <row r="137" spans="1:25" x14ac:dyDescent="0.2">
      <c r="A137" s="225">
        <v>88</v>
      </c>
      <c r="B137" s="37"/>
      <c r="C137" s="10" t="s">
        <v>87</v>
      </c>
      <c r="D137" s="10"/>
      <c r="E137" s="19" t="s">
        <v>88</v>
      </c>
      <c r="F137" s="159" t="s">
        <v>221</v>
      </c>
      <c r="G137" s="303"/>
      <c r="H137" s="268"/>
      <c r="I137" s="490"/>
      <c r="J137" s="487"/>
      <c r="K137" s="487"/>
      <c r="L137" s="491"/>
      <c r="M137" s="487"/>
      <c r="N137" s="487"/>
      <c r="O137" s="487"/>
      <c r="P137" s="487"/>
      <c r="Q137" s="237"/>
      <c r="R137" s="237"/>
      <c r="S137" s="237"/>
      <c r="T137" s="237"/>
      <c r="U137" s="102"/>
      <c r="V137" s="102"/>
      <c r="W137" s="102"/>
      <c r="X137" s="102"/>
      <c r="Y137" s="102"/>
    </row>
    <row r="138" spans="1:25" x14ac:dyDescent="0.2">
      <c r="A138" s="225"/>
      <c r="B138" s="37"/>
      <c r="C138" s="10" t="s">
        <v>109</v>
      </c>
      <c r="D138" s="10"/>
      <c r="E138" s="62"/>
      <c r="F138" s="158"/>
      <c r="G138" s="302"/>
      <c r="H138" s="267"/>
      <c r="I138" s="490"/>
      <c r="J138" s="487"/>
      <c r="K138" s="487"/>
      <c r="L138" s="491"/>
      <c r="M138" s="487"/>
      <c r="N138" s="487"/>
      <c r="O138" s="487"/>
      <c r="P138" s="487"/>
      <c r="Q138" s="237"/>
      <c r="R138" s="237"/>
      <c r="S138" s="237"/>
      <c r="T138" s="237"/>
      <c r="U138" s="102"/>
      <c r="V138" s="102"/>
      <c r="W138" s="102"/>
      <c r="X138" s="102"/>
      <c r="Y138" s="102"/>
    </row>
    <row r="139" spans="1:25" x14ac:dyDescent="0.2">
      <c r="A139" s="225">
        <v>89</v>
      </c>
      <c r="B139" s="37"/>
      <c r="C139" s="10"/>
      <c r="D139" s="10" t="s">
        <v>110</v>
      </c>
      <c r="E139" s="19" t="s">
        <v>90</v>
      </c>
      <c r="F139" s="159" t="s">
        <v>221</v>
      </c>
      <c r="G139" s="303">
        <v>99128.97974322582</v>
      </c>
      <c r="H139" s="268" t="s">
        <v>432</v>
      </c>
      <c r="I139" s="490"/>
      <c r="J139" s="491"/>
      <c r="K139" s="487"/>
      <c r="L139" s="491"/>
      <c r="M139" s="487"/>
      <c r="N139" s="487"/>
      <c r="O139" s="487"/>
      <c r="P139" s="487"/>
      <c r="Q139" s="237"/>
      <c r="R139" s="237"/>
      <c r="S139" s="237"/>
      <c r="T139" s="237"/>
      <c r="U139" s="102"/>
      <c r="V139" s="102"/>
      <c r="W139" s="102"/>
      <c r="X139" s="102"/>
      <c r="Y139" s="102"/>
    </row>
    <row r="140" spans="1:25" x14ac:dyDescent="0.2">
      <c r="A140" s="225">
        <v>90</v>
      </c>
      <c r="B140" s="37"/>
      <c r="C140" s="10"/>
      <c r="D140" s="10" t="s">
        <v>91</v>
      </c>
      <c r="E140" s="19" t="s">
        <v>92</v>
      </c>
      <c r="F140" s="159" t="s">
        <v>221</v>
      </c>
      <c r="G140" s="303">
        <v>6592.1556309677426</v>
      </c>
      <c r="H140" s="268" t="s">
        <v>469</v>
      </c>
      <c r="I140" s="490"/>
      <c r="J140" s="491"/>
      <c r="K140" s="487"/>
      <c r="L140" s="491"/>
      <c r="M140" s="487"/>
      <c r="N140" s="487"/>
      <c r="O140" s="487"/>
      <c r="P140" s="487"/>
      <c r="Q140" s="237"/>
      <c r="R140" s="237"/>
      <c r="S140" s="237"/>
      <c r="T140" s="237"/>
      <c r="U140" s="102"/>
      <c r="V140" s="102"/>
      <c r="W140" s="102"/>
      <c r="X140" s="102"/>
      <c r="Y140" s="102"/>
    </row>
    <row r="141" spans="1:25" x14ac:dyDescent="0.2">
      <c r="A141" s="225">
        <v>91</v>
      </c>
      <c r="B141" s="37"/>
      <c r="C141" s="10" t="s">
        <v>242</v>
      </c>
      <c r="D141" s="10"/>
      <c r="E141" s="19" t="s">
        <v>243</v>
      </c>
      <c r="F141" s="159" t="s">
        <v>221</v>
      </c>
      <c r="G141" s="303"/>
      <c r="H141" s="268"/>
      <c r="I141" s="490"/>
      <c r="J141" s="487"/>
      <c r="K141" s="487"/>
      <c r="L141" s="491"/>
      <c r="M141" s="487"/>
      <c r="N141" s="487"/>
      <c r="O141" s="487"/>
      <c r="P141" s="487"/>
      <c r="Q141" s="237"/>
      <c r="R141" s="237"/>
      <c r="S141" s="237"/>
      <c r="T141" s="237"/>
      <c r="U141" s="102"/>
      <c r="V141" s="102"/>
      <c r="W141" s="102"/>
      <c r="X141" s="102"/>
      <c r="Y141" s="102"/>
    </row>
    <row r="142" spans="1:25" x14ac:dyDescent="0.2">
      <c r="A142" s="225">
        <v>92</v>
      </c>
      <c r="B142" s="37"/>
      <c r="C142" s="10" t="s">
        <v>95</v>
      </c>
      <c r="D142" s="10"/>
      <c r="E142" s="19" t="s">
        <v>96</v>
      </c>
      <c r="F142" s="159" t="s">
        <v>221</v>
      </c>
      <c r="G142" s="303">
        <v>3363.3447096774198</v>
      </c>
      <c r="H142" s="268" t="s">
        <v>436</v>
      </c>
      <c r="I142" s="490"/>
      <c r="J142" s="491"/>
      <c r="K142" s="487"/>
      <c r="L142" s="491"/>
      <c r="M142" s="487"/>
      <c r="N142" s="487"/>
      <c r="O142" s="487"/>
      <c r="P142" s="487"/>
      <c r="Q142" s="237"/>
      <c r="R142" s="237"/>
      <c r="S142" s="237"/>
      <c r="T142" s="237"/>
      <c r="U142" s="102"/>
      <c r="V142" s="102"/>
      <c r="W142" s="102"/>
      <c r="X142" s="102"/>
      <c r="Y142" s="102"/>
    </row>
    <row r="143" spans="1:25" x14ac:dyDescent="0.2">
      <c r="A143" s="225">
        <v>93</v>
      </c>
      <c r="B143" s="37"/>
      <c r="C143" s="10" t="s">
        <v>295</v>
      </c>
      <c r="D143" s="10"/>
      <c r="E143" s="19" t="s">
        <v>97</v>
      </c>
      <c r="F143" s="159" t="s">
        <v>221</v>
      </c>
      <c r="G143" s="303">
        <f>+SUM(G$132:G$134)*$I143</f>
        <v>15059.975958483905</v>
      </c>
      <c r="H143" s="268"/>
      <c r="I143" s="492">
        <f>'KIPP Assumptions'!$B$105+'KIPP Assumptions'!$B$106+'KIPP Assumptions'!$B$107+'KIPP Assumptions'!$B$108+'KIPP Assumptions'!$B$109</f>
        <v>7.0773334087038758E-2</v>
      </c>
      <c r="J143" s="487"/>
      <c r="K143" s="487"/>
      <c r="L143" s="491"/>
      <c r="M143" s="487"/>
      <c r="N143" s="487"/>
      <c r="O143" s="487"/>
      <c r="P143" s="487"/>
      <c r="Q143" s="237"/>
      <c r="R143" s="237"/>
      <c r="S143" s="237"/>
      <c r="T143" s="237"/>
      <c r="U143" s="102"/>
      <c r="V143" s="102"/>
      <c r="W143" s="102"/>
      <c r="X143" s="102"/>
      <c r="Y143" s="102"/>
    </row>
    <row r="144" spans="1:25" x14ac:dyDescent="0.2">
      <c r="A144" s="225">
        <v>94</v>
      </c>
      <c r="B144" s="37"/>
      <c r="C144" s="10" t="s">
        <v>98</v>
      </c>
      <c r="D144" s="10"/>
      <c r="E144" s="19" t="s">
        <v>99</v>
      </c>
      <c r="F144" s="159" t="s">
        <v>221</v>
      </c>
      <c r="G144" s="303">
        <f t="shared" ref="G144:G147" si="3">+SUM(G$132:G$134)*$I144</f>
        <v>13193.083545812502</v>
      </c>
      <c r="H144" s="268"/>
      <c r="I144" s="492">
        <f>'KIPP Assumptions'!$B$111</f>
        <v>6.2E-2</v>
      </c>
      <c r="J144" s="487"/>
      <c r="K144" s="487"/>
      <c r="L144" s="491"/>
      <c r="M144" s="487"/>
      <c r="N144" s="487"/>
      <c r="O144" s="487"/>
      <c r="P144" s="487"/>
      <c r="Q144" s="237"/>
      <c r="R144" s="237"/>
      <c r="S144" s="237"/>
      <c r="T144" s="237"/>
      <c r="U144" s="102"/>
      <c r="V144" s="102"/>
      <c r="W144" s="102"/>
      <c r="X144" s="102"/>
      <c r="Y144" s="102"/>
    </row>
    <row r="145" spans="1:25" x14ac:dyDescent="0.2">
      <c r="A145" s="225">
        <v>95</v>
      </c>
      <c r="B145" s="37"/>
      <c r="C145" s="10" t="s">
        <v>100</v>
      </c>
      <c r="D145" s="10"/>
      <c r="E145" s="19" t="s">
        <v>101</v>
      </c>
      <c r="F145" s="159" t="s">
        <v>221</v>
      </c>
      <c r="G145" s="303">
        <f t="shared" si="3"/>
        <v>3085.4792163593756</v>
      </c>
      <c r="H145" s="268"/>
      <c r="I145" s="492">
        <f>'KIPP Assumptions'!$B$110</f>
        <v>1.4500000000000001E-2</v>
      </c>
      <c r="J145" s="487"/>
      <c r="K145" s="487"/>
      <c r="L145" s="491"/>
      <c r="M145" s="487"/>
      <c r="N145" s="487"/>
      <c r="O145" s="487"/>
      <c r="P145" s="487"/>
      <c r="Q145" s="237"/>
      <c r="R145" s="237"/>
      <c r="S145" s="237"/>
      <c r="T145" s="237"/>
      <c r="U145" s="102"/>
      <c r="V145" s="102"/>
      <c r="W145" s="102"/>
      <c r="X145" s="102"/>
      <c r="Y145" s="102"/>
    </row>
    <row r="146" spans="1:25" x14ac:dyDescent="0.2">
      <c r="A146" s="225">
        <v>96</v>
      </c>
      <c r="B146" s="37"/>
      <c r="C146" s="10" t="s">
        <v>219</v>
      </c>
      <c r="D146" s="10"/>
      <c r="E146" s="19" t="s">
        <v>220</v>
      </c>
      <c r="F146" s="159" t="s">
        <v>221</v>
      </c>
      <c r="G146" s="303">
        <f t="shared" si="3"/>
        <v>6836.8020432735402</v>
      </c>
      <c r="H146" s="268"/>
      <c r="I146" s="492">
        <f>+'KIPP Assumptions'!$B$113</f>
        <v>3.21290868212155E-2</v>
      </c>
      <c r="J146" s="487"/>
      <c r="K146" s="487"/>
      <c r="L146" s="491"/>
      <c r="M146" s="487"/>
      <c r="N146" s="487"/>
      <c r="O146" s="487"/>
      <c r="P146" s="487"/>
      <c r="Q146" s="237"/>
      <c r="R146" s="237"/>
      <c r="S146" s="237"/>
      <c r="T146" s="237"/>
      <c r="U146" s="102"/>
      <c r="V146" s="102"/>
      <c r="W146" s="102"/>
      <c r="X146" s="102"/>
      <c r="Y146" s="102"/>
    </row>
    <row r="147" spans="1:25" x14ac:dyDescent="0.2">
      <c r="A147" s="225">
        <v>97</v>
      </c>
      <c r="B147" s="37"/>
      <c r="C147" s="10" t="s">
        <v>102</v>
      </c>
      <c r="D147" s="10"/>
      <c r="E147" s="19" t="s">
        <v>103</v>
      </c>
      <c r="F147" s="159" t="s">
        <v>221</v>
      </c>
      <c r="G147" s="303">
        <f t="shared" si="3"/>
        <v>212.79167009375004</v>
      </c>
      <c r="H147" s="268"/>
      <c r="I147" s="492">
        <f>+'KIPP Assumptions'!$B$112</f>
        <v>1E-3</v>
      </c>
      <c r="J147" s="487"/>
      <c r="K147" s="487"/>
      <c r="L147" s="491"/>
      <c r="M147" s="487"/>
      <c r="N147" s="487"/>
      <c r="O147" s="487"/>
      <c r="P147" s="487"/>
      <c r="Q147" s="237"/>
      <c r="R147" s="237"/>
      <c r="S147" s="237"/>
      <c r="T147" s="237"/>
      <c r="U147" s="102"/>
      <c r="V147" s="102"/>
      <c r="W147" s="102"/>
      <c r="X147" s="102"/>
      <c r="Y147" s="102"/>
    </row>
    <row r="148" spans="1:25" x14ac:dyDescent="0.2">
      <c r="A148" s="225">
        <v>98</v>
      </c>
      <c r="B148" s="37"/>
      <c r="C148" s="10" t="s">
        <v>104</v>
      </c>
      <c r="D148" s="10"/>
      <c r="E148" s="19" t="s">
        <v>105</v>
      </c>
      <c r="F148" s="159" t="s">
        <v>221</v>
      </c>
      <c r="G148" s="303"/>
      <c r="H148" s="268"/>
      <c r="I148" s="490"/>
      <c r="J148" s="487"/>
      <c r="K148" s="487"/>
      <c r="L148" s="491"/>
      <c r="M148" s="487"/>
      <c r="N148" s="487"/>
      <c r="O148" s="487"/>
      <c r="P148" s="487"/>
      <c r="Q148" s="237"/>
      <c r="R148" s="237"/>
      <c r="S148" s="237"/>
      <c r="T148" s="237"/>
      <c r="U148" s="102"/>
      <c r="V148" s="102"/>
      <c r="W148" s="102"/>
      <c r="X148" s="102"/>
      <c r="Y148" s="102"/>
    </row>
    <row r="149" spans="1:25" x14ac:dyDescent="0.2">
      <c r="A149" s="225">
        <v>99</v>
      </c>
      <c r="B149" s="37"/>
      <c r="C149" s="86" t="s">
        <v>283</v>
      </c>
      <c r="D149" s="10"/>
      <c r="E149" s="19"/>
      <c r="F149" s="159"/>
      <c r="G149" s="303"/>
      <c r="H149" s="268"/>
      <c r="I149" s="490"/>
      <c r="J149" s="487"/>
      <c r="K149" s="487"/>
      <c r="L149" s="491"/>
      <c r="M149" s="487"/>
      <c r="N149" s="487"/>
      <c r="O149" s="487"/>
      <c r="P149" s="487"/>
      <c r="Q149" s="237"/>
      <c r="R149" s="237"/>
      <c r="S149" s="237"/>
      <c r="T149" s="237"/>
      <c r="U149" s="102"/>
      <c r="V149" s="102"/>
      <c r="W149" s="102"/>
      <c r="X149" s="102"/>
      <c r="Y149" s="102"/>
    </row>
    <row r="150" spans="1:25" x14ac:dyDescent="0.2">
      <c r="A150" s="225">
        <v>100</v>
      </c>
      <c r="B150" s="37"/>
      <c r="C150" s="86"/>
      <c r="D150" s="10"/>
      <c r="E150" s="19"/>
      <c r="F150" s="159"/>
      <c r="G150" s="303"/>
      <c r="H150" s="268"/>
      <c r="I150" s="490"/>
      <c r="J150" s="487"/>
      <c r="K150" s="487"/>
      <c r="L150" s="491"/>
      <c r="M150" s="487"/>
      <c r="N150" s="487"/>
      <c r="O150" s="487"/>
      <c r="P150" s="487"/>
      <c r="Q150" s="237"/>
      <c r="R150" s="237"/>
      <c r="S150" s="237"/>
      <c r="T150" s="237"/>
      <c r="U150" s="102"/>
      <c r="V150" s="102"/>
      <c r="W150" s="102"/>
      <c r="X150" s="102"/>
      <c r="Y150" s="102"/>
    </row>
    <row r="151" spans="1:25" x14ac:dyDescent="0.2">
      <c r="A151" s="225">
        <v>101</v>
      </c>
      <c r="B151" s="37"/>
      <c r="C151" s="86"/>
      <c r="D151" s="10"/>
      <c r="E151" s="19"/>
      <c r="F151" s="159"/>
      <c r="G151" s="303"/>
      <c r="H151" s="268"/>
      <c r="I151" s="490"/>
      <c r="J151" s="487"/>
      <c r="K151" s="487"/>
      <c r="L151" s="491"/>
      <c r="M151" s="487"/>
      <c r="N151" s="487"/>
      <c r="O151" s="487"/>
      <c r="P151" s="487"/>
      <c r="Q151" s="237"/>
      <c r="R151" s="237"/>
      <c r="S151" s="237"/>
      <c r="T151" s="237"/>
      <c r="U151" s="102"/>
      <c r="V151" s="102"/>
      <c r="W151" s="102"/>
      <c r="X151" s="102"/>
      <c r="Y151" s="102"/>
    </row>
    <row r="152" spans="1:25" ht="15.75" customHeight="1" x14ac:dyDescent="0.2">
      <c r="A152" s="225">
        <v>102</v>
      </c>
      <c r="B152" s="84"/>
      <c r="D152" s="14"/>
      <c r="E152" s="15"/>
      <c r="F152" s="167"/>
      <c r="G152" s="315"/>
      <c r="H152" s="283"/>
      <c r="I152" s="490"/>
      <c r="J152" s="487"/>
      <c r="K152" s="487"/>
      <c r="L152" s="491"/>
      <c r="M152" s="487"/>
      <c r="N152" s="487"/>
      <c r="O152" s="487"/>
      <c r="P152" s="487"/>
      <c r="Q152" s="237"/>
      <c r="R152" s="237"/>
      <c r="S152" s="237"/>
      <c r="T152" s="237"/>
      <c r="U152" s="102"/>
      <c r="V152" s="102"/>
      <c r="W152" s="102"/>
      <c r="X152" s="102"/>
      <c r="Y152" s="102"/>
    </row>
    <row r="153" spans="1:25" ht="15.75" thickBot="1" x14ac:dyDescent="0.3">
      <c r="A153" s="226">
        <v>103</v>
      </c>
      <c r="B153" s="88" t="s">
        <v>19</v>
      </c>
      <c r="C153" s="52"/>
      <c r="D153" s="52"/>
      <c r="E153" s="50"/>
      <c r="F153" s="163"/>
      <c r="G153" s="306">
        <f>SUM(G131:G152)</f>
        <v>360264.28261164413</v>
      </c>
      <c r="H153" s="271"/>
      <c r="I153" s="490"/>
      <c r="J153" s="487"/>
      <c r="K153" s="487"/>
      <c r="L153" s="491"/>
      <c r="M153" s="487"/>
      <c r="N153" s="487"/>
      <c r="O153" s="487"/>
      <c r="P153" s="487"/>
      <c r="Q153" s="237"/>
      <c r="R153" s="237"/>
      <c r="S153" s="237"/>
      <c r="T153" s="237"/>
      <c r="U153" s="102"/>
      <c r="V153" s="102"/>
      <c r="W153" s="102"/>
      <c r="X153" s="102"/>
      <c r="Y153" s="102"/>
    </row>
    <row r="154" spans="1:25" ht="15.75" thickBot="1" x14ac:dyDescent="0.3">
      <c r="A154" s="229">
        <v>104</v>
      </c>
      <c r="B154" s="76" t="s">
        <v>24</v>
      </c>
      <c r="C154" s="77"/>
      <c r="D154" s="77"/>
      <c r="E154" s="46"/>
      <c r="F154" s="166"/>
      <c r="G154" s="312">
        <f>+G100+G127+G153</f>
        <v>3399301.3862616327</v>
      </c>
      <c r="H154" s="287"/>
      <c r="I154" s="490"/>
      <c r="J154" s="487"/>
      <c r="K154" s="487"/>
      <c r="L154" s="491"/>
      <c r="M154" s="487"/>
      <c r="N154" s="487"/>
      <c r="O154" s="487"/>
      <c r="P154" s="487"/>
      <c r="Q154" s="237"/>
      <c r="R154" s="237"/>
      <c r="S154" s="237"/>
      <c r="T154" s="237"/>
      <c r="U154" s="102"/>
      <c r="V154" s="102"/>
      <c r="W154" s="102"/>
      <c r="X154" s="102"/>
      <c r="Y154" s="102"/>
    </row>
    <row r="155" spans="1:25" ht="4.5" customHeight="1" x14ac:dyDescent="0.2">
      <c r="A155" s="230"/>
      <c r="B155" s="36"/>
      <c r="C155" s="13"/>
      <c r="D155" s="13"/>
      <c r="E155" s="17"/>
      <c r="F155" s="171"/>
      <c r="G155" s="319"/>
      <c r="H155" s="288"/>
      <c r="I155" s="490"/>
      <c r="J155" s="487"/>
      <c r="K155" s="487"/>
      <c r="L155" s="491"/>
      <c r="M155" s="487"/>
      <c r="N155" s="487"/>
      <c r="O155" s="487"/>
      <c r="P155" s="487"/>
      <c r="Q155" s="237"/>
      <c r="R155" s="237"/>
      <c r="S155" s="237"/>
      <c r="T155" s="237"/>
      <c r="U155" s="102"/>
      <c r="V155" s="102"/>
      <c r="W155" s="102"/>
      <c r="X155" s="102"/>
      <c r="Y155" s="102"/>
    </row>
    <row r="156" spans="1:25" s="5" customFormat="1" ht="15" x14ac:dyDescent="0.25">
      <c r="A156" s="225"/>
      <c r="B156" s="53" t="s">
        <v>22</v>
      </c>
      <c r="C156" s="54"/>
      <c r="D156" s="54"/>
      <c r="E156" s="62"/>
      <c r="F156" s="158"/>
      <c r="G156" s="302"/>
      <c r="H156" s="267"/>
      <c r="I156" s="490"/>
      <c r="J156" s="487"/>
      <c r="K156" s="487"/>
      <c r="L156" s="491"/>
      <c r="M156" s="487"/>
      <c r="N156" s="487"/>
      <c r="O156" s="487"/>
      <c r="P156" s="487"/>
      <c r="Q156" s="237"/>
      <c r="R156" s="237"/>
      <c r="S156" s="237"/>
      <c r="T156" s="237"/>
      <c r="U156" s="240"/>
      <c r="V156" s="240"/>
      <c r="W156" s="240"/>
      <c r="X156" s="240"/>
      <c r="Y156" s="240"/>
    </row>
    <row r="157" spans="1:25" s="5" customFormat="1" ht="15" x14ac:dyDescent="0.25">
      <c r="A157" s="225"/>
      <c r="B157" s="89" t="s">
        <v>23</v>
      </c>
      <c r="C157" s="54"/>
      <c r="D157" s="54"/>
      <c r="E157" s="62"/>
      <c r="F157" s="158"/>
      <c r="G157" s="302"/>
      <c r="H157" s="267"/>
      <c r="I157" s="490"/>
      <c r="J157" s="487"/>
      <c r="K157" s="487"/>
      <c r="L157" s="491"/>
      <c r="M157" s="487"/>
      <c r="N157" s="487"/>
      <c r="O157" s="487"/>
      <c r="P157" s="487"/>
      <c r="Q157" s="237"/>
      <c r="R157" s="237"/>
      <c r="S157" s="237"/>
      <c r="T157" s="237"/>
      <c r="U157" s="240"/>
      <c r="V157" s="240"/>
      <c r="W157" s="240"/>
      <c r="X157" s="240"/>
      <c r="Y157" s="240"/>
    </row>
    <row r="158" spans="1:25" x14ac:dyDescent="0.2">
      <c r="A158" s="225">
        <v>105</v>
      </c>
      <c r="B158" s="37"/>
      <c r="C158" s="10" t="s">
        <v>281</v>
      </c>
      <c r="D158" s="10"/>
      <c r="E158" s="19" t="s">
        <v>221</v>
      </c>
      <c r="F158" s="159" t="s">
        <v>240</v>
      </c>
      <c r="G158" s="303">
        <f>+I158*J158</f>
        <v>57938.326015625018</v>
      </c>
      <c r="H158" s="268" t="s">
        <v>517</v>
      </c>
      <c r="I158" s="615">
        <f>+'KIPP Assumptions'!E$82</f>
        <v>1</v>
      </c>
      <c r="J158" s="314">
        <f>+'Yr 3 Operating Statement of Act'!J158*(1+'Operating Statement of Act'!$M$79)</f>
        <v>57938.326015625018</v>
      </c>
      <c r="K158" s="487"/>
      <c r="L158" s="491"/>
      <c r="M158" s="487"/>
      <c r="N158" s="487"/>
      <c r="O158" s="487"/>
      <c r="P158" s="487"/>
      <c r="Q158" s="237"/>
      <c r="R158" s="237"/>
      <c r="S158" s="237"/>
      <c r="T158" s="237"/>
      <c r="U158" s="102"/>
      <c r="V158" s="102"/>
      <c r="W158" s="102"/>
      <c r="X158" s="102"/>
      <c r="Y158" s="102"/>
    </row>
    <row r="159" spans="1:25" x14ac:dyDescent="0.2">
      <c r="A159" s="225">
        <v>106</v>
      </c>
      <c r="B159" s="37"/>
      <c r="C159" s="10" t="s">
        <v>8</v>
      </c>
      <c r="D159" s="10"/>
      <c r="E159" s="19" t="s">
        <v>221</v>
      </c>
      <c r="F159" s="159" t="s">
        <v>240</v>
      </c>
      <c r="G159" s="303">
        <f>+I159*J159</f>
        <v>117983.50025000003</v>
      </c>
      <c r="H159" s="268" t="s">
        <v>517</v>
      </c>
      <c r="I159" s="615">
        <f>+'KIPP Assumptions'!E$93</f>
        <v>2</v>
      </c>
      <c r="J159" s="314">
        <f>+'Yr 3 Operating Statement of Act'!J159*(1+'Operating Statement of Act'!$M$79)</f>
        <v>58991.750125000013</v>
      </c>
      <c r="K159" s="487"/>
      <c r="L159" s="491"/>
      <c r="M159" s="487"/>
      <c r="N159" s="487"/>
      <c r="O159" s="487"/>
      <c r="P159" s="487"/>
      <c r="Q159" s="237"/>
      <c r="R159" s="237"/>
      <c r="S159" s="237"/>
      <c r="T159" s="237"/>
      <c r="U159" s="102"/>
      <c r="V159" s="102"/>
      <c r="W159" s="102"/>
      <c r="X159" s="102"/>
      <c r="Y159" s="102"/>
    </row>
    <row r="160" spans="1:25" x14ac:dyDescent="0.2">
      <c r="A160" s="225">
        <v>107</v>
      </c>
      <c r="B160" s="37"/>
      <c r="C160" s="10" t="s">
        <v>282</v>
      </c>
      <c r="D160" s="10"/>
      <c r="E160" s="19" t="s">
        <v>221</v>
      </c>
      <c r="F160" s="159" t="s">
        <v>240</v>
      </c>
      <c r="G160" s="321">
        <f>+I160*J160*'KIPP Assumptions'!E$101</f>
        <v>58991.750125000013</v>
      </c>
      <c r="H160" s="268" t="s">
        <v>517</v>
      </c>
      <c r="I160" s="615">
        <f>+'KIPP Assumptions'!E$91</f>
        <v>1</v>
      </c>
      <c r="J160" s="314">
        <f>+'Yr 3 Operating Statement of Act'!J160*(1+'Operating Statement of Act'!$M$79)</f>
        <v>58991.750125000013</v>
      </c>
      <c r="K160" s="487"/>
      <c r="L160" s="491"/>
      <c r="M160" s="487"/>
      <c r="N160" s="487"/>
      <c r="O160" s="487"/>
      <c r="P160" s="487"/>
      <c r="Q160" s="237"/>
      <c r="R160" s="237"/>
      <c r="S160" s="237"/>
      <c r="T160" s="237"/>
      <c r="U160" s="102"/>
      <c r="V160" s="102"/>
      <c r="W160" s="102"/>
      <c r="X160" s="102"/>
      <c r="Y160" s="102"/>
    </row>
    <row r="161" spans="1:25" x14ac:dyDescent="0.2">
      <c r="A161" s="225">
        <v>108</v>
      </c>
      <c r="B161" s="37"/>
      <c r="C161" s="10" t="s">
        <v>120</v>
      </c>
      <c r="D161" s="10"/>
      <c r="E161" s="19" t="s">
        <v>221</v>
      </c>
      <c r="F161" s="159" t="s">
        <v>240</v>
      </c>
      <c r="G161" s="303">
        <f>+I161*J161</f>
        <v>33182.859445312512</v>
      </c>
      <c r="H161" s="268" t="s">
        <v>517</v>
      </c>
      <c r="I161" s="615">
        <f>+'KIPP Assumptions'!E$92</f>
        <v>0.5</v>
      </c>
      <c r="J161" s="314">
        <f>+'Yr 3 Operating Statement of Act'!J161*(1+'Operating Statement of Act'!$M$79)</f>
        <v>66365.718890625023</v>
      </c>
      <c r="K161" s="487"/>
      <c r="L161" s="491"/>
      <c r="M161" s="487"/>
      <c r="N161" s="487"/>
      <c r="O161" s="487"/>
      <c r="P161" s="487"/>
      <c r="Q161" s="237"/>
      <c r="R161" s="237"/>
      <c r="S161" s="237"/>
      <c r="T161" s="237"/>
      <c r="U161" s="102"/>
      <c r="V161" s="102"/>
      <c r="W161" s="102"/>
      <c r="X161" s="102"/>
      <c r="Y161" s="102"/>
    </row>
    <row r="162" spans="1:25" x14ac:dyDescent="0.2">
      <c r="A162" s="225">
        <v>109</v>
      </c>
      <c r="B162" s="37"/>
      <c r="C162" s="10" t="s">
        <v>295</v>
      </c>
      <c r="D162" s="10"/>
      <c r="E162" s="19" t="s">
        <v>97</v>
      </c>
      <c r="F162" s="159" t="s">
        <v>240</v>
      </c>
      <c r="G162" s="303">
        <f t="shared" ref="G162:G166" si="4">+SUM(G$158:G$161)*$I162</f>
        <v>18974.078620961158</v>
      </c>
      <c r="H162" s="268"/>
      <c r="I162" s="492">
        <f>'KIPP Assumptions'!$B$105+'KIPP Assumptions'!$B$106+'KIPP Assumptions'!$B$107+'KIPP Assumptions'!$B$108+'KIPP Assumptions'!$B$109</f>
        <v>7.0773334087038758E-2</v>
      </c>
      <c r="J162" s="487"/>
      <c r="K162" s="487"/>
      <c r="L162" s="491"/>
      <c r="M162" s="487"/>
      <c r="N162" s="487"/>
      <c r="O162" s="487"/>
      <c r="P162" s="487"/>
      <c r="Q162" s="237"/>
      <c r="R162" s="237"/>
      <c r="S162" s="237"/>
      <c r="T162" s="237"/>
      <c r="U162" s="102"/>
      <c r="V162" s="102"/>
      <c r="W162" s="102"/>
      <c r="X162" s="102"/>
      <c r="Y162" s="102"/>
    </row>
    <row r="163" spans="1:25" x14ac:dyDescent="0.2">
      <c r="A163" s="225">
        <v>110</v>
      </c>
      <c r="B163" s="37"/>
      <c r="C163" s="10" t="s">
        <v>98</v>
      </c>
      <c r="D163" s="10"/>
      <c r="E163" s="19" t="s">
        <v>99</v>
      </c>
      <c r="F163" s="159" t="s">
        <v>240</v>
      </c>
      <c r="G163" s="303">
        <f t="shared" si="4"/>
        <v>16621.97902182813</v>
      </c>
      <c r="H163" s="268"/>
      <c r="I163" s="492">
        <f>'KIPP Assumptions'!$B$111</f>
        <v>6.2E-2</v>
      </c>
      <c r="J163" s="487"/>
      <c r="K163" s="487"/>
      <c r="L163" s="491"/>
      <c r="M163" s="487"/>
      <c r="N163" s="487"/>
      <c r="O163" s="487"/>
      <c r="P163" s="487"/>
      <c r="Q163" s="237"/>
      <c r="R163" s="237"/>
      <c r="S163" s="237"/>
      <c r="T163" s="237"/>
      <c r="U163" s="102"/>
      <c r="V163" s="102"/>
      <c r="W163" s="102"/>
      <c r="X163" s="102"/>
      <c r="Y163" s="102"/>
    </row>
    <row r="164" spans="1:25" x14ac:dyDescent="0.2">
      <c r="A164" s="225">
        <v>111</v>
      </c>
      <c r="B164" s="37"/>
      <c r="C164" s="10" t="s">
        <v>100</v>
      </c>
      <c r="D164" s="10"/>
      <c r="E164" s="19" t="s">
        <v>101</v>
      </c>
      <c r="F164" s="159" t="s">
        <v>240</v>
      </c>
      <c r="G164" s="303">
        <f t="shared" si="4"/>
        <v>3887.3983196210947</v>
      </c>
      <c r="H164" s="268"/>
      <c r="I164" s="492">
        <f>'KIPP Assumptions'!$B$110</f>
        <v>1.4500000000000001E-2</v>
      </c>
      <c r="J164" s="487"/>
      <c r="K164" s="487"/>
      <c r="L164" s="491"/>
      <c r="M164" s="487"/>
      <c r="N164" s="487"/>
      <c r="O164" s="487"/>
      <c r="P164" s="487"/>
      <c r="Q164" s="237"/>
      <c r="R164" s="237"/>
      <c r="S164" s="237"/>
      <c r="T164" s="237"/>
      <c r="U164" s="102"/>
      <c r="V164" s="102"/>
      <c r="W164" s="102"/>
      <c r="X164" s="102"/>
      <c r="Y164" s="102"/>
    </row>
    <row r="165" spans="1:25" x14ac:dyDescent="0.2">
      <c r="A165" s="225">
        <v>112</v>
      </c>
      <c r="B165" s="37"/>
      <c r="C165" s="10" t="s">
        <v>219</v>
      </c>
      <c r="D165" s="10"/>
      <c r="E165" s="19" t="s">
        <v>220</v>
      </c>
      <c r="F165" s="159" t="s">
        <v>240</v>
      </c>
      <c r="G165" s="303">
        <f t="shared" si="4"/>
        <v>8613.6936634312679</v>
      </c>
      <c r="H165" s="268"/>
      <c r="I165" s="492">
        <f>+'KIPP Assumptions'!$B$113</f>
        <v>3.21290868212155E-2</v>
      </c>
      <c r="J165" s="487"/>
      <c r="K165" s="487"/>
      <c r="L165" s="491"/>
      <c r="M165" s="487"/>
      <c r="N165" s="487"/>
      <c r="O165" s="487"/>
      <c r="P165" s="487"/>
      <c r="Q165" s="237"/>
      <c r="R165" s="237"/>
      <c r="S165" s="237"/>
      <c r="T165" s="237"/>
      <c r="U165" s="102"/>
      <c r="V165" s="102"/>
      <c r="W165" s="102"/>
      <c r="X165" s="102"/>
      <c r="Y165" s="102"/>
    </row>
    <row r="166" spans="1:25" x14ac:dyDescent="0.2">
      <c r="A166" s="225">
        <v>113</v>
      </c>
      <c r="B166" s="37"/>
      <c r="C166" s="10" t="s">
        <v>102</v>
      </c>
      <c r="D166" s="10"/>
      <c r="E166" s="19" t="s">
        <v>103</v>
      </c>
      <c r="F166" s="159" t="s">
        <v>240</v>
      </c>
      <c r="G166" s="303">
        <f t="shared" si="4"/>
        <v>268.09643583593754</v>
      </c>
      <c r="H166" s="268"/>
      <c r="I166" s="492">
        <f>+'KIPP Assumptions'!$B$112</f>
        <v>1E-3</v>
      </c>
      <c r="J166" s="487"/>
      <c r="K166" s="487"/>
      <c r="L166" s="491"/>
      <c r="M166" s="487"/>
      <c r="N166" s="487"/>
      <c r="O166" s="487"/>
      <c r="P166" s="487"/>
      <c r="Q166" s="237"/>
      <c r="R166" s="237"/>
      <c r="S166" s="237"/>
      <c r="T166" s="237"/>
      <c r="U166" s="102"/>
      <c r="V166" s="102"/>
      <c r="W166" s="102"/>
      <c r="X166" s="102"/>
      <c r="Y166" s="102"/>
    </row>
    <row r="167" spans="1:25" x14ac:dyDescent="0.2">
      <c r="A167" s="225">
        <v>114</v>
      </c>
      <c r="B167" s="37"/>
      <c r="C167" s="10" t="s">
        <v>104</v>
      </c>
      <c r="D167" s="10"/>
      <c r="E167" s="19" t="s">
        <v>105</v>
      </c>
      <c r="F167" s="159" t="s">
        <v>240</v>
      </c>
      <c r="G167" s="303"/>
      <c r="H167" s="268"/>
      <c r="I167" s="490"/>
      <c r="J167" s="487"/>
      <c r="K167" s="487"/>
      <c r="L167" s="491"/>
      <c r="M167" s="487"/>
      <c r="N167" s="487"/>
      <c r="O167" s="487"/>
      <c r="P167" s="487"/>
      <c r="Q167" s="237"/>
      <c r="R167" s="237"/>
      <c r="S167" s="237"/>
      <c r="T167" s="237"/>
      <c r="U167" s="102"/>
      <c r="V167" s="102"/>
      <c r="W167" s="102"/>
      <c r="X167" s="102"/>
      <c r="Y167" s="102"/>
    </row>
    <row r="168" spans="1:25" x14ac:dyDescent="0.2">
      <c r="A168" s="225">
        <v>115</v>
      </c>
      <c r="B168" s="37"/>
      <c r="C168" s="86" t="s">
        <v>283</v>
      </c>
      <c r="D168" s="10"/>
      <c r="E168" s="19"/>
      <c r="F168" s="159"/>
      <c r="G168" s="303"/>
      <c r="H168" s="268"/>
      <c r="I168" s="490"/>
      <c r="J168" s="487"/>
      <c r="K168" s="487"/>
      <c r="L168" s="491"/>
      <c r="M168" s="487"/>
      <c r="N168" s="487"/>
      <c r="O168" s="487"/>
      <c r="P168" s="487"/>
      <c r="Q168" s="237"/>
      <c r="R168" s="237"/>
      <c r="S168" s="237"/>
      <c r="T168" s="237"/>
      <c r="U168" s="102"/>
      <c r="V168" s="102"/>
      <c r="W168" s="102"/>
      <c r="X168" s="102"/>
      <c r="Y168" s="102"/>
    </row>
    <row r="169" spans="1:25" x14ac:dyDescent="0.2">
      <c r="A169" s="225">
        <v>116</v>
      </c>
      <c r="B169" s="37"/>
      <c r="C169" s="86"/>
      <c r="D169" s="10"/>
      <c r="E169" s="19"/>
      <c r="F169" s="159"/>
      <c r="G169" s="303"/>
      <c r="H169" s="268"/>
      <c r="I169" s="490"/>
      <c r="J169" s="487"/>
      <c r="K169" s="487"/>
      <c r="L169" s="491"/>
      <c r="M169" s="487"/>
      <c r="N169" s="487"/>
      <c r="O169" s="487"/>
      <c r="P169" s="487"/>
      <c r="Q169" s="237"/>
      <c r="R169" s="237"/>
      <c r="S169" s="237"/>
      <c r="T169" s="237"/>
      <c r="U169" s="102"/>
      <c r="V169" s="102"/>
      <c r="W169" s="102"/>
      <c r="X169" s="102"/>
      <c r="Y169" s="102"/>
    </row>
    <row r="170" spans="1:25" x14ac:dyDescent="0.2">
      <c r="A170" s="225">
        <v>117</v>
      </c>
      <c r="B170" s="84"/>
      <c r="C170" s="85"/>
      <c r="D170" s="14"/>
      <c r="E170" s="15"/>
      <c r="F170" s="167"/>
      <c r="G170" s="315"/>
      <c r="H170" s="283"/>
      <c r="I170" s="490"/>
      <c r="J170" s="487"/>
      <c r="K170" s="487"/>
      <c r="L170" s="491"/>
      <c r="M170" s="487"/>
      <c r="N170" s="487"/>
      <c r="O170" s="487"/>
      <c r="P170" s="487"/>
      <c r="Q170" s="237"/>
      <c r="R170" s="237"/>
      <c r="S170" s="237"/>
      <c r="T170" s="237"/>
      <c r="U170" s="102"/>
      <c r="V170" s="102"/>
      <c r="W170" s="102"/>
      <c r="X170" s="102"/>
      <c r="Y170" s="102"/>
    </row>
    <row r="171" spans="1:25" ht="15" x14ac:dyDescent="0.25">
      <c r="A171" s="226">
        <v>118</v>
      </c>
      <c r="B171" s="88" t="s">
        <v>121</v>
      </c>
      <c r="C171" s="52"/>
      <c r="D171" s="52"/>
      <c r="E171" s="50"/>
      <c r="F171" s="163"/>
      <c r="G171" s="306">
        <f>SUM(G158:G170)</f>
        <v>316461.6818976152</v>
      </c>
      <c r="H171" s="271"/>
      <c r="I171" s="490"/>
      <c r="J171" s="487"/>
      <c r="K171" s="487"/>
      <c r="L171" s="491"/>
      <c r="M171" s="487"/>
      <c r="N171" s="487"/>
      <c r="O171" s="487"/>
      <c r="P171" s="487"/>
      <c r="Q171" s="237"/>
      <c r="R171" s="237"/>
      <c r="S171" s="237"/>
      <c r="T171" s="237"/>
      <c r="U171" s="102"/>
      <c r="V171" s="102"/>
      <c r="W171" s="102"/>
      <c r="X171" s="102"/>
      <c r="Y171" s="102"/>
    </row>
    <row r="172" spans="1:25" ht="9" customHeight="1" x14ac:dyDescent="0.2">
      <c r="A172" s="230"/>
      <c r="B172" s="36"/>
      <c r="C172" s="13"/>
      <c r="D172" s="13"/>
      <c r="E172" s="17"/>
      <c r="F172" s="171"/>
      <c r="G172" s="319"/>
      <c r="H172" s="288"/>
      <c r="I172" s="490"/>
      <c r="J172" s="487"/>
      <c r="K172" s="487"/>
      <c r="L172" s="491"/>
      <c r="M172" s="487"/>
      <c r="N172" s="487"/>
      <c r="O172" s="487"/>
      <c r="P172" s="487"/>
      <c r="Q172" s="237"/>
      <c r="R172" s="237"/>
      <c r="S172" s="237"/>
      <c r="T172" s="237"/>
      <c r="U172" s="102"/>
      <c r="V172" s="102"/>
      <c r="W172" s="102"/>
      <c r="X172" s="102"/>
      <c r="Y172" s="102"/>
    </row>
    <row r="173" spans="1:25" s="5" customFormat="1" ht="15" x14ac:dyDescent="0.25">
      <c r="A173" s="225"/>
      <c r="B173" s="89" t="s">
        <v>25</v>
      </c>
      <c r="C173" s="54"/>
      <c r="D173" s="54"/>
      <c r="E173" s="62"/>
      <c r="F173" s="158"/>
      <c r="G173" s="302"/>
      <c r="H173" s="267"/>
      <c r="I173" s="490"/>
      <c r="J173" s="487"/>
      <c r="K173" s="487"/>
      <c r="L173" s="491"/>
      <c r="M173" s="487"/>
      <c r="N173" s="487"/>
      <c r="O173" s="487"/>
      <c r="P173" s="487"/>
      <c r="Q173" s="237"/>
      <c r="R173" s="237"/>
      <c r="S173" s="237"/>
      <c r="T173" s="237"/>
      <c r="U173" s="240"/>
      <c r="V173" s="240"/>
      <c r="W173" s="240"/>
      <c r="X173" s="240"/>
      <c r="Y173" s="240"/>
    </row>
    <row r="174" spans="1:25" x14ac:dyDescent="0.2">
      <c r="A174" s="225">
        <v>119</v>
      </c>
      <c r="B174" s="37"/>
      <c r="C174" s="10" t="s">
        <v>241</v>
      </c>
      <c r="D174" s="10"/>
      <c r="E174" s="19">
        <v>111</v>
      </c>
      <c r="F174" s="159" t="s">
        <v>265</v>
      </c>
      <c r="G174" s="303"/>
      <c r="H174" s="268"/>
      <c r="I174" s="490"/>
      <c r="J174" s="487"/>
      <c r="K174" s="487"/>
      <c r="L174" s="491"/>
      <c r="M174" s="487"/>
      <c r="N174" s="487"/>
      <c r="O174" s="487"/>
      <c r="P174" s="487"/>
      <c r="Q174" s="237"/>
      <c r="R174" s="237"/>
      <c r="S174" s="237"/>
      <c r="T174" s="237"/>
      <c r="U174" s="102"/>
      <c r="V174" s="102"/>
      <c r="W174" s="102"/>
      <c r="X174" s="102"/>
      <c r="Y174" s="102"/>
    </row>
    <row r="175" spans="1:25" x14ac:dyDescent="0.2">
      <c r="A175" s="225">
        <v>120</v>
      </c>
      <c r="B175" s="37"/>
      <c r="C175" s="10" t="s">
        <v>122</v>
      </c>
      <c r="D175" s="10"/>
      <c r="E175" s="19" t="s">
        <v>221</v>
      </c>
      <c r="F175" s="159" t="s">
        <v>265</v>
      </c>
      <c r="G175" s="303">
        <v>21224.16</v>
      </c>
      <c r="H175" s="268"/>
      <c r="I175" s="490"/>
      <c r="J175" s="491"/>
      <c r="K175" s="491"/>
      <c r="L175" s="491"/>
      <c r="M175" s="487"/>
      <c r="N175" s="487"/>
      <c r="O175" s="487"/>
      <c r="P175" s="487"/>
      <c r="Q175" s="237"/>
      <c r="R175" s="237"/>
      <c r="S175" s="237"/>
      <c r="T175" s="237"/>
      <c r="U175" s="102"/>
      <c r="V175" s="102"/>
      <c r="W175" s="102"/>
      <c r="X175" s="102"/>
      <c r="Y175" s="102"/>
    </row>
    <row r="176" spans="1:25" x14ac:dyDescent="0.2">
      <c r="A176" s="225">
        <v>121</v>
      </c>
      <c r="B176" s="37"/>
      <c r="C176" s="10" t="s">
        <v>266</v>
      </c>
      <c r="D176" s="10"/>
      <c r="E176" s="19" t="s">
        <v>224</v>
      </c>
      <c r="F176" s="159" t="s">
        <v>265</v>
      </c>
      <c r="G176" s="303"/>
      <c r="H176" s="268"/>
      <c r="I176" s="490"/>
      <c r="J176" s="487"/>
      <c r="K176" s="487"/>
      <c r="L176" s="491"/>
      <c r="M176" s="487"/>
      <c r="N176" s="487"/>
      <c r="O176" s="487"/>
      <c r="P176" s="487"/>
      <c r="Q176" s="237"/>
      <c r="R176" s="237"/>
      <c r="S176" s="237"/>
      <c r="T176" s="237"/>
      <c r="U176" s="102"/>
      <c r="V176" s="102"/>
      <c r="W176" s="102"/>
      <c r="X176" s="102"/>
      <c r="Y176" s="102"/>
    </row>
    <row r="177" spans="1:25" x14ac:dyDescent="0.2">
      <c r="A177" s="225">
        <v>122</v>
      </c>
      <c r="B177" s="37"/>
      <c r="C177" s="10" t="s">
        <v>123</v>
      </c>
      <c r="D177" s="10"/>
      <c r="E177" s="19" t="s">
        <v>221</v>
      </c>
      <c r="F177" s="159">
        <v>2230</v>
      </c>
      <c r="G177" s="303"/>
      <c r="H177" s="268"/>
      <c r="I177" s="490"/>
      <c r="J177" s="487"/>
      <c r="K177" s="487"/>
      <c r="L177" s="491"/>
      <c r="M177" s="487"/>
      <c r="N177" s="487"/>
      <c r="O177" s="487"/>
      <c r="P177" s="487"/>
      <c r="Q177" s="237"/>
      <c r="R177" s="237"/>
      <c r="S177" s="237"/>
      <c r="T177" s="237"/>
      <c r="U177" s="102"/>
      <c r="V177" s="102"/>
      <c r="W177" s="102"/>
      <c r="X177" s="102"/>
      <c r="Y177" s="102"/>
    </row>
    <row r="178" spans="1:25" x14ac:dyDescent="0.2">
      <c r="A178" s="225">
        <v>123</v>
      </c>
      <c r="B178" s="37"/>
      <c r="C178" s="10" t="s">
        <v>124</v>
      </c>
      <c r="D178" s="10"/>
      <c r="E178" s="19" t="s">
        <v>221</v>
      </c>
      <c r="F178" s="159" t="s">
        <v>265</v>
      </c>
      <c r="G178" s="303"/>
      <c r="H178" s="268"/>
      <c r="I178" s="490"/>
      <c r="J178" s="487"/>
      <c r="K178" s="487"/>
      <c r="L178" s="491"/>
      <c r="M178" s="487"/>
      <c r="N178" s="487"/>
      <c r="O178" s="487"/>
      <c r="P178" s="487"/>
      <c r="Q178" s="237"/>
      <c r="R178" s="237"/>
      <c r="S178" s="237"/>
      <c r="T178" s="237"/>
      <c r="U178" s="102"/>
      <c r="V178" s="102"/>
      <c r="W178" s="102"/>
      <c r="X178" s="102"/>
      <c r="Y178" s="102"/>
    </row>
    <row r="179" spans="1:25" x14ac:dyDescent="0.2">
      <c r="A179" s="225">
        <v>124</v>
      </c>
      <c r="B179" s="37"/>
      <c r="C179" s="10" t="s">
        <v>295</v>
      </c>
      <c r="D179" s="10"/>
      <c r="E179" s="19" t="s">
        <v>97</v>
      </c>
      <c r="F179" s="159" t="s">
        <v>265</v>
      </c>
      <c r="G179" s="303">
        <v>0</v>
      </c>
      <c r="H179" s="268" t="s">
        <v>411</v>
      </c>
      <c r="I179" s="490"/>
      <c r="J179" s="487"/>
      <c r="K179" s="487"/>
      <c r="L179" s="491"/>
      <c r="M179" s="487"/>
      <c r="N179" s="487"/>
      <c r="O179" s="487"/>
      <c r="P179" s="487"/>
      <c r="Q179" s="237"/>
      <c r="R179" s="237"/>
      <c r="S179" s="237"/>
      <c r="T179" s="237"/>
      <c r="U179" s="102"/>
      <c r="V179" s="102"/>
      <c r="W179" s="102"/>
      <c r="X179" s="102"/>
      <c r="Y179" s="102"/>
    </row>
    <row r="180" spans="1:25" x14ac:dyDescent="0.2">
      <c r="A180" s="225">
        <v>125</v>
      </c>
      <c r="B180" s="37"/>
      <c r="C180" s="10" t="s">
        <v>98</v>
      </c>
      <c r="D180" s="10"/>
      <c r="E180" s="19" t="s">
        <v>99</v>
      </c>
      <c r="F180" s="159" t="s">
        <v>265</v>
      </c>
      <c r="G180" s="303">
        <v>0</v>
      </c>
      <c r="H180" s="268" t="s">
        <v>411</v>
      </c>
      <c r="I180" s="490"/>
      <c r="J180" s="487"/>
      <c r="K180" s="487"/>
      <c r="L180" s="491"/>
      <c r="M180" s="487"/>
      <c r="N180" s="487"/>
      <c r="O180" s="487"/>
      <c r="P180" s="487"/>
      <c r="Q180" s="237"/>
      <c r="R180" s="237"/>
      <c r="S180" s="237"/>
      <c r="T180" s="237"/>
      <c r="U180" s="102"/>
      <c r="V180" s="102"/>
      <c r="W180" s="102"/>
      <c r="X180" s="102"/>
      <c r="Y180" s="102"/>
    </row>
    <row r="181" spans="1:25" x14ac:dyDescent="0.2">
      <c r="A181" s="225">
        <v>126</v>
      </c>
      <c r="B181" s="37"/>
      <c r="C181" s="10" t="s">
        <v>100</v>
      </c>
      <c r="D181" s="10"/>
      <c r="E181" s="19" t="s">
        <v>101</v>
      </c>
      <c r="F181" s="159" t="s">
        <v>265</v>
      </c>
      <c r="G181" s="303">
        <v>0</v>
      </c>
      <c r="H181" s="268" t="s">
        <v>411</v>
      </c>
      <c r="I181" s="490"/>
      <c r="J181" s="487"/>
      <c r="K181" s="487"/>
      <c r="L181" s="491"/>
      <c r="M181" s="487"/>
      <c r="N181" s="487"/>
      <c r="O181" s="487"/>
      <c r="P181" s="487"/>
      <c r="Q181" s="237"/>
      <c r="R181" s="237"/>
      <c r="S181" s="237"/>
      <c r="T181" s="237"/>
      <c r="U181" s="102"/>
      <c r="V181" s="102"/>
      <c r="W181" s="102"/>
      <c r="X181" s="102"/>
      <c r="Y181" s="102"/>
    </row>
    <row r="182" spans="1:25" x14ac:dyDescent="0.2">
      <c r="A182" s="225">
        <v>127</v>
      </c>
      <c r="B182" s="37"/>
      <c r="C182" s="10" t="s">
        <v>219</v>
      </c>
      <c r="D182" s="10"/>
      <c r="E182" s="19" t="s">
        <v>220</v>
      </c>
      <c r="F182" s="159" t="s">
        <v>265</v>
      </c>
      <c r="G182" s="303">
        <v>0</v>
      </c>
      <c r="H182" s="268" t="s">
        <v>411</v>
      </c>
      <c r="I182" s="490"/>
      <c r="J182" s="487"/>
      <c r="K182" s="487"/>
      <c r="L182" s="491"/>
      <c r="M182" s="487"/>
      <c r="N182" s="487"/>
      <c r="O182" s="487"/>
      <c r="P182" s="487"/>
      <c r="Q182" s="237"/>
      <c r="R182" s="237"/>
      <c r="S182" s="237"/>
      <c r="T182" s="237"/>
      <c r="U182" s="102"/>
      <c r="V182" s="102"/>
      <c r="W182" s="102"/>
      <c r="X182" s="102"/>
      <c r="Y182" s="102"/>
    </row>
    <row r="183" spans="1:25" x14ac:dyDescent="0.2">
      <c r="A183" s="225">
        <v>128</v>
      </c>
      <c r="B183" s="37"/>
      <c r="C183" s="10" t="s">
        <v>102</v>
      </c>
      <c r="D183" s="10"/>
      <c r="E183" s="19" t="s">
        <v>103</v>
      </c>
      <c r="F183" s="159" t="s">
        <v>265</v>
      </c>
      <c r="G183" s="303">
        <v>0</v>
      </c>
      <c r="H183" s="268" t="s">
        <v>411</v>
      </c>
      <c r="I183" s="490"/>
      <c r="J183" s="487"/>
      <c r="K183" s="487"/>
      <c r="L183" s="491"/>
      <c r="M183" s="487"/>
      <c r="N183" s="487"/>
      <c r="O183" s="487"/>
      <c r="P183" s="487"/>
      <c r="Q183" s="237"/>
      <c r="R183" s="237"/>
      <c r="S183" s="237"/>
      <c r="T183" s="237"/>
      <c r="U183" s="102"/>
      <c r="V183" s="102"/>
      <c r="W183" s="102"/>
      <c r="X183" s="102"/>
      <c r="Y183" s="102"/>
    </row>
    <row r="184" spans="1:25" x14ac:dyDescent="0.2">
      <c r="A184" s="225">
        <v>129</v>
      </c>
      <c r="B184" s="37"/>
      <c r="C184" s="10" t="s">
        <v>104</v>
      </c>
      <c r="D184" s="10"/>
      <c r="E184" s="19" t="s">
        <v>105</v>
      </c>
      <c r="F184" s="159" t="s">
        <v>265</v>
      </c>
      <c r="G184" s="303">
        <v>0</v>
      </c>
      <c r="H184" s="268" t="s">
        <v>411</v>
      </c>
      <c r="I184" s="490"/>
      <c r="J184" s="487"/>
      <c r="K184" s="487"/>
      <c r="L184" s="491"/>
      <c r="M184" s="487"/>
      <c r="N184" s="487"/>
      <c r="O184" s="487"/>
      <c r="P184" s="487"/>
      <c r="Q184" s="237"/>
      <c r="R184" s="237"/>
      <c r="S184" s="237"/>
      <c r="T184" s="237"/>
      <c r="U184" s="102"/>
      <c r="V184" s="102"/>
      <c r="W184" s="102"/>
      <c r="X184" s="102"/>
      <c r="Y184" s="102"/>
    </row>
    <row r="185" spans="1:25" x14ac:dyDescent="0.2">
      <c r="A185" s="225">
        <v>130</v>
      </c>
      <c r="B185" s="37"/>
      <c r="C185" s="86" t="s">
        <v>283</v>
      </c>
      <c r="D185" s="10"/>
      <c r="E185" s="19"/>
      <c r="F185" s="159"/>
      <c r="G185" s="303"/>
      <c r="H185" s="268"/>
      <c r="I185" s="490"/>
      <c r="J185" s="487"/>
      <c r="K185" s="487"/>
      <c r="L185" s="491"/>
      <c r="M185" s="487"/>
      <c r="N185" s="487"/>
      <c r="O185" s="487"/>
      <c r="P185" s="487"/>
      <c r="Q185" s="237"/>
      <c r="R185" s="237"/>
      <c r="S185" s="237"/>
      <c r="T185" s="237"/>
      <c r="U185" s="102"/>
      <c r="V185" s="102"/>
      <c r="W185" s="102"/>
      <c r="X185" s="102"/>
      <c r="Y185" s="102"/>
    </row>
    <row r="186" spans="1:25" x14ac:dyDescent="0.2">
      <c r="A186" s="225">
        <v>131</v>
      </c>
      <c r="B186" s="37"/>
      <c r="C186" s="86"/>
      <c r="D186" s="10"/>
      <c r="E186" s="19"/>
      <c r="F186" s="159"/>
      <c r="G186" s="303"/>
      <c r="H186" s="268"/>
      <c r="I186" s="490"/>
      <c r="J186" s="487"/>
      <c r="K186" s="487"/>
      <c r="L186" s="491"/>
      <c r="M186" s="487"/>
      <c r="N186" s="487"/>
      <c r="O186" s="487"/>
      <c r="P186" s="487"/>
      <c r="Q186" s="237"/>
      <c r="R186" s="237"/>
      <c r="S186" s="237"/>
      <c r="T186" s="237"/>
      <c r="U186" s="102"/>
      <c r="V186" s="102"/>
      <c r="W186" s="102"/>
      <c r="X186" s="102"/>
      <c r="Y186" s="102"/>
    </row>
    <row r="187" spans="1:25" x14ac:dyDescent="0.2">
      <c r="A187" s="225">
        <v>132</v>
      </c>
      <c r="B187" s="84"/>
      <c r="D187" s="14"/>
      <c r="E187" s="15"/>
      <c r="F187" s="167"/>
      <c r="G187" s="315"/>
      <c r="H187" s="283"/>
      <c r="I187" s="490"/>
      <c r="J187" s="487"/>
      <c r="K187" s="487"/>
      <c r="L187" s="491"/>
      <c r="M187" s="487"/>
      <c r="N187" s="487"/>
      <c r="O187" s="487"/>
      <c r="P187" s="487"/>
      <c r="Q187" s="237"/>
      <c r="R187" s="237"/>
      <c r="S187" s="237"/>
      <c r="T187" s="237"/>
      <c r="U187" s="102"/>
      <c r="V187" s="102"/>
      <c r="W187" s="102"/>
      <c r="X187" s="102"/>
      <c r="Y187" s="102"/>
    </row>
    <row r="188" spans="1:25" ht="15" x14ac:dyDescent="0.25">
      <c r="A188" s="226">
        <v>133</v>
      </c>
      <c r="B188" s="88" t="s">
        <v>125</v>
      </c>
      <c r="C188" s="52"/>
      <c r="D188" s="52"/>
      <c r="E188" s="50"/>
      <c r="F188" s="163"/>
      <c r="G188" s="306">
        <f>SUM(G174:G187)</f>
        <v>21224.16</v>
      </c>
      <c r="H188" s="271"/>
      <c r="I188" s="490"/>
      <c r="J188" s="487"/>
      <c r="K188" s="487"/>
      <c r="L188" s="491"/>
      <c r="M188" s="487"/>
      <c r="N188" s="487"/>
      <c r="O188" s="487"/>
      <c r="P188" s="487"/>
      <c r="Q188" s="237"/>
      <c r="R188" s="237"/>
      <c r="S188" s="237"/>
      <c r="T188" s="237"/>
      <c r="U188" s="102"/>
      <c r="V188" s="102"/>
      <c r="W188" s="102"/>
      <c r="X188" s="102"/>
      <c r="Y188" s="102"/>
    </row>
    <row r="189" spans="1:25" ht="4.5" customHeight="1" x14ac:dyDescent="0.2">
      <c r="A189" s="230"/>
      <c r="B189" s="36"/>
      <c r="C189" s="13"/>
      <c r="D189" s="13"/>
      <c r="E189" s="17"/>
      <c r="F189" s="171"/>
      <c r="G189" s="319"/>
      <c r="H189" s="288"/>
      <c r="I189" s="490"/>
      <c r="J189" s="487"/>
      <c r="K189" s="487"/>
      <c r="L189" s="491"/>
      <c r="M189" s="487"/>
      <c r="N189" s="487"/>
      <c r="O189" s="487"/>
      <c r="P189" s="487"/>
      <c r="Q189" s="237"/>
      <c r="R189" s="237"/>
      <c r="S189" s="237"/>
      <c r="T189" s="237"/>
      <c r="U189" s="102"/>
      <c r="V189" s="102"/>
      <c r="W189" s="102"/>
      <c r="X189" s="102"/>
      <c r="Y189" s="102"/>
    </row>
    <row r="190" spans="1:25" s="5" customFormat="1" ht="15" x14ac:dyDescent="0.25">
      <c r="A190" s="225"/>
      <c r="B190" s="89" t="s">
        <v>292</v>
      </c>
      <c r="C190" s="54"/>
      <c r="D190" s="54"/>
      <c r="E190" s="62"/>
      <c r="F190" s="158"/>
      <c r="G190" s="302"/>
      <c r="H190" s="267"/>
      <c r="I190" s="490"/>
      <c r="J190" s="487"/>
      <c r="K190" s="487"/>
      <c r="L190" s="491"/>
      <c r="M190" s="487"/>
      <c r="N190" s="487"/>
      <c r="O190" s="487"/>
      <c r="P190" s="487"/>
      <c r="Q190" s="237"/>
      <c r="R190" s="237"/>
      <c r="S190" s="237"/>
      <c r="T190" s="237"/>
      <c r="U190" s="240"/>
      <c r="V190" s="240"/>
      <c r="W190" s="240"/>
      <c r="X190" s="240"/>
      <c r="Y190" s="240"/>
    </row>
    <row r="191" spans="1:25" x14ac:dyDescent="0.2">
      <c r="A191" s="225"/>
      <c r="B191" s="26"/>
      <c r="C191" s="12" t="s">
        <v>1</v>
      </c>
      <c r="D191" s="12"/>
      <c r="E191" s="62"/>
      <c r="F191" s="158"/>
      <c r="G191" s="302"/>
      <c r="H191" s="267"/>
      <c r="I191" s="490"/>
      <c r="J191" s="487"/>
      <c r="K191" s="487"/>
      <c r="L191" s="491"/>
      <c r="M191" s="487"/>
      <c r="N191" s="487"/>
      <c r="O191" s="487"/>
      <c r="P191" s="487"/>
      <c r="Q191" s="237"/>
      <c r="R191" s="237"/>
      <c r="S191" s="237"/>
      <c r="T191" s="237"/>
      <c r="U191" s="102"/>
      <c r="V191" s="102"/>
      <c r="W191" s="102"/>
      <c r="X191" s="102"/>
      <c r="Y191" s="102"/>
    </row>
    <row r="192" spans="1:25" x14ac:dyDescent="0.2">
      <c r="A192" s="225">
        <v>134</v>
      </c>
      <c r="B192" s="37"/>
      <c r="C192" s="10"/>
      <c r="D192" s="10" t="s">
        <v>127</v>
      </c>
      <c r="E192" s="19">
        <v>332</v>
      </c>
      <c r="F192" s="159" t="s">
        <v>225</v>
      </c>
      <c r="G192" s="303">
        <v>37142.28</v>
      </c>
      <c r="H192" s="268" t="s">
        <v>425</v>
      </c>
      <c r="I192" s="490"/>
      <c r="J192" s="491"/>
      <c r="K192" s="491"/>
      <c r="L192" s="491"/>
      <c r="M192" s="487"/>
      <c r="N192" s="487"/>
      <c r="O192" s="487"/>
      <c r="P192" s="487"/>
      <c r="Q192" s="237"/>
      <c r="R192" s="237"/>
      <c r="S192" s="237"/>
      <c r="T192" s="237"/>
      <c r="U192" s="102"/>
      <c r="V192" s="102"/>
      <c r="W192" s="102"/>
      <c r="X192" s="102"/>
      <c r="Y192" s="102"/>
    </row>
    <row r="193" spans="1:25" x14ac:dyDescent="0.2">
      <c r="A193" s="225">
        <v>135</v>
      </c>
      <c r="B193" s="37"/>
      <c r="C193" s="10"/>
      <c r="D193" s="10" t="s">
        <v>83</v>
      </c>
      <c r="E193" s="19" t="s">
        <v>84</v>
      </c>
      <c r="F193" s="159" t="s">
        <v>126</v>
      </c>
      <c r="G193" s="303">
        <v>0</v>
      </c>
      <c r="H193" s="268"/>
      <c r="I193" s="490"/>
      <c r="J193" s="491"/>
      <c r="K193" s="487"/>
      <c r="L193" s="491"/>
      <c r="M193" s="487"/>
      <c r="N193" s="487"/>
      <c r="O193" s="487"/>
      <c r="P193" s="487"/>
      <c r="Q193" s="237"/>
      <c r="R193" s="237"/>
      <c r="S193" s="237"/>
      <c r="T193" s="237"/>
      <c r="U193" s="102"/>
      <c r="V193" s="102"/>
      <c r="W193" s="102"/>
      <c r="X193" s="102"/>
      <c r="Y193" s="102"/>
    </row>
    <row r="194" spans="1:25" x14ac:dyDescent="0.2">
      <c r="A194" s="225">
        <v>136</v>
      </c>
      <c r="B194" s="37"/>
      <c r="C194" s="10"/>
      <c r="D194" s="10" t="s">
        <v>128</v>
      </c>
      <c r="E194" s="19" t="s">
        <v>129</v>
      </c>
      <c r="F194" s="159" t="s">
        <v>126</v>
      </c>
      <c r="G194" s="303">
        <v>7110.0936000000002</v>
      </c>
      <c r="H194" s="268"/>
      <c r="I194" s="490"/>
      <c r="J194" s="491"/>
      <c r="K194" s="491"/>
      <c r="L194" s="491"/>
      <c r="M194" s="487"/>
      <c r="N194" s="487"/>
      <c r="O194" s="487"/>
      <c r="P194" s="487"/>
      <c r="Q194" s="237"/>
      <c r="R194" s="237"/>
      <c r="S194" s="237"/>
      <c r="T194" s="237"/>
      <c r="U194" s="102"/>
      <c r="V194" s="102"/>
      <c r="W194" s="102"/>
      <c r="X194" s="102"/>
      <c r="Y194" s="102"/>
    </row>
    <row r="195" spans="1:25" x14ac:dyDescent="0.2">
      <c r="A195" s="225">
        <v>137</v>
      </c>
      <c r="B195" s="37"/>
      <c r="C195" s="10"/>
      <c r="D195" s="10" t="s">
        <v>130</v>
      </c>
      <c r="E195" s="19" t="s">
        <v>223</v>
      </c>
      <c r="F195" s="159" t="s">
        <v>225</v>
      </c>
      <c r="G195" s="321">
        <v>44443.391039999995</v>
      </c>
      <c r="H195" s="268" t="s">
        <v>427</v>
      </c>
      <c r="I195" s="490"/>
      <c r="J195" s="491"/>
      <c r="K195" s="491"/>
      <c r="L195" s="491"/>
      <c r="M195" s="487"/>
      <c r="N195" s="487"/>
      <c r="O195" s="487"/>
      <c r="P195" s="487"/>
      <c r="Q195" s="237"/>
      <c r="R195" s="237"/>
      <c r="S195" s="237"/>
      <c r="T195" s="237"/>
      <c r="U195" s="102"/>
      <c r="V195" s="102"/>
      <c r="W195" s="102"/>
      <c r="X195" s="102"/>
      <c r="Y195" s="102"/>
    </row>
    <row r="196" spans="1:25" x14ac:dyDescent="0.2">
      <c r="A196" s="225">
        <v>138</v>
      </c>
      <c r="B196" s="37"/>
      <c r="C196" s="10"/>
      <c r="D196" s="10" t="s">
        <v>131</v>
      </c>
      <c r="E196" s="19" t="s">
        <v>132</v>
      </c>
      <c r="F196" s="159" t="s">
        <v>126</v>
      </c>
      <c r="G196" s="303">
        <v>2653.02</v>
      </c>
      <c r="H196" s="268" t="s">
        <v>433</v>
      </c>
      <c r="I196" s="490"/>
      <c r="J196" s="491"/>
      <c r="K196" s="491"/>
      <c r="L196" s="491"/>
      <c r="M196" s="487"/>
      <c r="N196" s="487"/>
      <c r="O196" s="487"/>
      <c r="P196" s="487"/>
      <c r="Q196" s="237"/>
      <c r="R196" s="237"/>
      <c r="S196" s="237"/>
      <c r="T196" s="237"/>
      <c r="U196" s="102"/>
      <c r="V196" s="102"/>
      <c r="W196" s="102"/>
      <c r="X196" s="102"/>
      <c r="Y196" s="102"/>
    </row>
    <row r="197" spans="1:25" x14ac:dyDescent="0.2">
      <c r="A197" s="225">
        <v>139</v>
      </c>
      <c r="B197" s="37"/>
      <c r="C197" s="10"/>
      <c r="D197" s="10" t="s">
        <v>5</v>
      </c>
      <c r="E197" s="19">
        <v>730</v>
      </c>
      <c r="F197" s="159" t="s">
        <v>225</v>
      </c>
      <c r="G197" s="303"/>
      <c r="H197" s="268"/>
      <c r="I197" s="490"/>
      <c r="J197" s="487"/>
      <c r="K197" s="487"/>
      <c r="L197" s="491"/>
      <c r="M197" s="487"/>
      <c r="N197" s="487"/>
      <c r="O197" s="487"/>
      <c r="P197" s="487"/>
      <c r="Q197" s="237"/>
      <c r="R197" s="237"/>
      <c r="S197" s="237"/>
      <c r="T197" s="237"/>
      <c r="U197" s="102"/>
      <c r="V197" s="102"/>
      <c r="W197" s="102"/>
      <c r="X197" s="102"/>
      <c r="Y197" s="102"/>
    </row>
    <row r="198" spans="1:25" x14ac:dyDescent="0.2">
      <c r="A198" s="225">
        <v>140</v>
      </c>
      <c r="B198" s="37"/>
      <c r="C198" s="10"/>
      <c r="D198" s="10" t="s">
        <v>133</v>
      </c>
      <c r="E198" s="19" t="s">
        <v>116</v>
      </c>
      <c r="F198" s="159" t="s">
        <v>126</v>
      </c>
      <c r="G198" s="303">
        <f>+'KIPP Assumptions'!$E51*('KIPP Assumptions'!E$6*SUM('KIPP Assumptions'!E$17:E$20)+SUMPRODUCT('KIPP Assumptions'!E$7:E$14,'KIPP Assumptions'!E$21:E$28))+'KIPP Assumptions'!$E52</f>
        <v>175561.31120923063</v>
      </c>
      <c r="H198" s="268" t="str">
        <f>"LDE/OPSB fees ("&amp;TEXT('KIPP Assumptions'!$E$51,"#.0%")&amp;" of MFP) and KIPP Foundation Fee ("&amp;TEXT('KIPP Assumptions'!$E$52,"$#,##0")&amp;")"</f>
        <v>LDE/OPSB fees (2.0% of MFP) and KIPP Foundation Fee ($30,000)</v>
      </c>
      <c r="I198" s="490"/>
      <c r="J198" s="487"/>
      <c r="K198" s="487"/>
      <c r="L198" s="491"/>
      <c r="M198" s="487"/>
      <c r="N198" s="487"/>
      <c r="O198" s="487"/>
      <c r="P198" s="487"/>
      <c r="Q198" s="237"/>
      <c r="R198" s="237"/>
      <c r="S198" s="237"/>
      <c r="T198" s="237"/>
      <c r="U198" s="102"/>
      <c r="V198" s="102"/>
      <c r="W198" s="102"/>
      <c r="X198" s="102"/>
      <c r="Y198" s="102"/>
    </row>
    <row r="199" spans="1:25" x14ac:dyDescent="0.2">
      <c r="A199" s="225">
        <v>141</v>
      </c>
      <c r="B199" s="37"/>
      <c r="C199" s="10"/>
      <c r="D199" s="10" t="s">
        <v>134</v>
      </c>
      <c r="E199" s="19" t="s">
        <v>135</v>
      </c>
      <c r="F199" s="159" t="s">
        <v>126</v>
      </c>
      <c r="G199" s="303"/>
      <c r="H199" s="268"/>
      <c r="I199" s="490"/>
      <c r="J199" s="487"/>
      <c r="K199" s="487"/>
      <c r="L199" s="491"/>
      <c r="M199" s="487"/>
      <c r="N199" s="487"/>
      <c r="O199" s="487"/>
      <c r="P199" s="487"/>
      <c r="Q199" s="237"/>
      <c r="R199" s="237"/>
      <c r="S199" s="237"/>
      <c r="T199" s="237"/>
      <c r="U199" s="102"/>
      <c r="V199" s="102"/>
      <c r="W199" s="102"/>
      <c r="X199" s="102"/>
      <c r="Y199" s="102"/>
    </row>
    <row r="200" spans="1:25" x14ac:dyDescent="0.2">
      <c r="A200" s="225">
        <v>142</v>
      </c>
      <c r="B200" s="37"/>
      <c r="C200" s="86" t="s">
        <v>283</v>
      </c>
      <c r="D200" s="10"/>
      <c r="E200" s="19"/>
      <c r="F200" s="159"/>
      <c r="G200" s="303"/>
      <c r="H200" s="268"/>
      <c r="I200" s="490"/>
      <c r="J200" s="487"/>
      <c r="K200" s="487"/>
      <c r="L200" s="491"/>
      <c r="M200" s="487"/>
      <c r="N200" s="487"/>
      <c r="O200" s="487"/>
      <c r="P200" s="487"/>
      <c r="Q200" s="237"/>
      <c r="R200" s="237"/>
      <c r="S200" s="237"/>
      <c r="T200" s="237"/>
      <c r="U200" s="102"/>
      <c r="V200" s="102"/>
      <c r="W200" s="102"/>
      <c r="X200" s="102"/>
      <c r="Y200" s="102"/>
    </row>
    <row r="201" spans="1:25" x14ac:dyDescent="0.2">
      <c r="A201" s="225">
        <v>143</v>
      </c>
      <c r="B201" s="108"/>
      <c r="C201" s="109"/>
      <c r="D201" s="110" t="s">
        <v>448</v>
      </c>
      <c r="E201" s="19">
        <v>310</v>
      </c>
      <c r="F201" s="159" t="s">
        <v>447</v>
      </c>
      <c r="G201" s="303">
        <f>+G70*'KIPP Assumptions'!$E49</f>
        <v>1044586.9265353837</v>
      </c>
      <c r="H201" s="268" t="str">
        <f>"KNOS regional management fee ("&amp;TEXT('KIPP Assumptions'!$E$49,"#.0%")&amp;" of revenue)"</f>
        <v>KNOS regional management fee (12.0% of revenue)</v>
      </c>
      <c r="I201" s="490"/>
      <c r="J201" s="487"/>
      <c r="K201" s="487"/>
      <c r="L201" s="491"/>
      <c r="M201" s="487"/>
      <c r="N201" s="487"/>
      <c r="O201" s="487"/>
      <c r="P201" s="487"/>
      <c r="Q201" s="237"/>
      <c r="R201" s="237"/>
      <c r="S201" s="237"/>
      <c r="T201" s="237"/>
      <c r="U201" s="102"/>
      <c r="V201" s="102"/>
      <c r="W201" s="102"/>
      <c r="X201" s="102"/>
      <c r="Y201" s="102"/>
    </row>
    <row r="202" spans="1:25" x14ac:dyDescent="0.2">
      <c r="A202" s="225">
        <v>144</v>
      </c>
      <c r="B202" s="37"/>
      <c r="C202" s="10"/>
      <c r="D202" s="10"/>
      <c r="E202" s="19"/>
      <c r="F202" s="159"/>
      <c r="G202" s="303"/>
      <c r="H202" s="268"/>
      <c r="I202" s="490"/>
      <c r="J202" s="487"/>
      <c r="K202" s="487"/>
      <c r="L202" s="491"/>
      <c r="M202" s="487"/>
      <c r="N202" s="487"/>
      <c r="O202" s="487"/>
      <c r="P202" s="487"/>
      <c r="Q202" s="237"/>
      <c r="R202" s="237"/>
      <c r="S202" s="237"/>
      <c r="T202" s="237"/>
      <c r="U202" s="102"/>
      <c r="V202" s="102"/>
      <c r="W202" s="102"/>
      <c r="X202" s="102"/>
      <c r="Y202" s="102"/>
    </row>
    <row r="203" spans="1:25" ht="15" x14ac:dyDescent="0.25">
      <c r="A203" s="226">
        <v>145</v>
      </c>
      <c r="B203" s="88" t="s">
        <v>136</v>
      </c>
      <c r="C203" s="52"/>
      <c r="D203" s="52"/>
      <c r="E203" s="50"/>
      <c r="F203" s="163"/>
      <c r="G203" s="306">
        <f>SUM(G192:G202)</f>
        <v>1311497.0223846142</v>
      </c>
      <c r="H203" s="271"/>
      <c r="I203" s="490"/>
      <c r="J203" s="487"/>
      <c r="K203" s="487"/>
      <c r="L203" s="491"/>
      <c r="M203" s="487"/>
      <c r="N203" s="487"/>
      <c r="O203" s="487"/>
      <c r="P203" s="487"/>
      <c r="Q203" s="237"/>
      <c r="R203" s="237"/>
      <c r="S203" s="237"/>
      <c r="T203" s="237"/>
      <c r="U203" s="102"/>
      <c r="V203" s="102"/>
      <c r="W203" s="102"/>
      <c r="X203" s="102"/>
      <c r="Y203" s="102"/>
    </row>
    <row r="204" spans="1:25" x14ac:dyDescent="0.2">
      <c r="A204" s="225"/>
      <c r="B204" s="37"/>
      <c r="C204" s="10"/>
      <c r="D204" s="10"/>
      <c r="E204" s="19"/>
      <c r="F204" s="159"/>
      <c r="G204" s="303"/>
      <c r="H204" s="268"/>
      <c r="I204" s="490"/>
      <c r="J204" s="487"/>
      <c r="K204" s="487"/>
      <c r="L204" s="491"/>
      <c r="M204" s="487"/>
      <c r="N204" s="487"/>
      <c r="O204" s="487"/>
      <c r="P204" s="487"/>
      <c r="Q204" s="237"/>
      <c r="R204" s="237"/>
      <c r="S204" s="237"/>
      <c r="T204" s="237"/>
      <c r="U204" s="102"/>
      <c r="V204" s="102"/>
      <c r="W204" s="102"/>
      <c r="X204" s="102"/>
      <c r="Y204" s="102"/>
    </row>
    <row r="205" spans="1:25" s="5" customFormat="1" ht="15" x14ac:dyDescent="0.25">
      <c r="A205" s="225"/>
      <c r="B205" s="89" t="s">
        <v>26</v>
      </c>
      <c r="C205" s="54"/>
      <c r="D205" s="54"/>
      <c r="E205" s="62"/>
      <c r="F205" s="158"/>
      <c r="G205" s="302"/>
      <c r="H205" s="267"/>
      <c r="I205" s="490"/>
      <c r="J205" s="487"/>
      <c r="K205" s="487"/>
      <c r="L205" s="491"/>
      <c r="M205" s="487"/>
      <c r="N205" s="487"/>
      <c r="O205" s="487"/>
      <c r="P205" s="487"/>
      <c r="Q205" s="237"/>
      <c r="R205" s="237"/>
      <c r="S205" s="237"/>
      <c r="T205" s="237"/>
      <c r="U205" s="240"/>
      <c r="V205" s="240"/>
      <c r="W205" s="240"/>
      <c r="X205" s="240"/>
      <c r="Y205" s="240"/>
    </row>
    <row r="206" spans="1:25" x14ac:dyDescent="0.2">
      <c r="A206" s="225"/>
      <c r="B206" s="37"/>
      <c r="C206" s="10" t="s">
        <v>76</v>
      </c>
      <c r="D206" s="10"/>
      <c r="E206" s="62"/>
      <c r="F206" s="158"/>
      <c r="G206" s="302"/>
      <c r="H206" s="267"/>
      <c r="I206" s="490"/>
      <c r="J206" s="487"/>
      <c r="K206" s="487"/>
      <c r="L206" s="491"/>
      <c r="M206" s="487"/>
      <c r="N206" s="487"/>
      <c r="O206" s="487"/>
      <c r="P206" s="487"/>
      <c r="Q206" s="237"/>
      <c r="R206" s="237"/>
      <c r="S206" s="237"/>
      <c r="T206" s="237"/>
      <c r="U206" s="102"/>
      <c r="V206" s="102"/>
      <c r="W206" s="102"/>
      <c r="X206" s="102"/>
      <c r="Y206" s="102"/>
    </row>
    <row r="207" spans="1:25" x14ac:dyDescent="0.2">
      <c r="A207" s="225">
        <v>146</v>
      </c>
      <c r="B207" s="37"/>
      <c r="C207" s="10"/>
      <c r="D207" s="10" t="s">
        <v>137</v>
      </c>
      <c r="E207" s="19" t="s">
        <v>118</v>
      </c>
      <c r="F207" s="159" t="s">
        <v>138</v>
      </c>
      <c r="G207" s="303">
        <f>+I207*J207</f>
        <v>189616.3396875</v>
      </c>
      <c r="H207" s="268" t="s">
        <v>517</v>
      </c>
      <c r="I207" s="490">
        <f>+SUM('KIPP Assumptions'!E$76,'KIPP Assumptions'!E$81)</f>
        <v>2</v>
      </c>
      <c r="J207" s="314">
        <f>+'Yr 3 Operating Statement of Act'!J207*(1+'Operating Statement of Act'!$M$79)</f>
        <v>94808.169843750002</v>
      </c>
      <c r="K207" s="487"/>
      <c r="L207" s="491"/>
      <c r="M207" s="487"/>
      <c r="N207" s="487"/>
      <c r="O207" s="487"/>
      <c r="P207" s="487"/>
      <c r="Q207" s="237"/>
      <c r="R207" s="237"/>
      <c r="S207" s="237"/>
      <c r="T207" s="237"/>
      <c r="U207" s="102"/>
      <c r="V207" s="102"/>
      <c r="W207" s="102"/>
      <c r="X207" s="102"/>
      <c r="Y207" s="102"/>
    </row>
    <row r="208" spans="1:25" x14ac:dyDescent="0.2">
      <c r="A208" s="225">
        <v>147</v>
      </c>
      <c r="B208" s="37"/>
      <c r="C208" s="10"/>
      <c r="D208" s="10" t="s">
        <v>139</v>
      </c>
      <c r="E208" s="19" t="s">
        <v>118</v>
      </c>
      <c r="F208" s="159" t="s">
        <v>140</v>
      </c>
      <c r="G208" s="303">
        <f t="shared" ref="G208:G209" si="5">+I208*J208</f>
        <v>497216.17962500016</v>
      </c>
      <c r="H208" s="268" t="s">
        <v>517</v>
      </c>
      <c r="I208" s="490">
        <f>SUM('KIPP Assumptions'!E77:E80)</f>
        <v>8</v>
      </c>
      <c r="J208" s="314">
        <f>+'Yr 3 Operating Statement of Act'!J208*(1+'Operating Statement of Act'!$M$79)</f>
        <v>62152.022453125021</v>
      </c>
      <c r="K208" s="487"/>
      <c r="L208" s="491"/>
      <c r="M208" s="487"/>
      <c r="N208" s="487"/>
      <c r="O208" s="487"/>
      <c r="P208" s="487"/>
      <c r="Q208" s="237"/>
      <c r="R208" s="237"/>
      <c r="S208" s="237"/>
      <c r="T208" s="237"/>
      <c r="U208" s="102"/>
      <c r="V208" s="102"/>
      <c r="W208" s="102"/>
      <c r="X208" s="102"/>
      <c r="Y208" s="102"/>
    </row>
    <row r="209" spans="1:25" x14ac:dyDescent="0.2">
      <c r="A209" s="225">
        <v>148</v>
      </c>
      <c r="B209" s="37"/>
      <c r="C209" s="10"/>
      <c r="D209" s="10" t="s">
        <v>141</v>
      </c>
      <c r="E209" s="19" t="s">
        <v>119</v>
      </c>
      <c r="F209" s="159" t="s">
        <v>142</v>
      </c>
      <c r="G209" s="303">
        <f t="shared" si="5"/>
        <v>154853.34407812502</v>
      </c>
      <c r="H209" s="268" t="s">
        <v>517</v>
      </c>
      <c r="I209" s="490">
        <f>+'KIPP Assumptions'!E$94</f>
        <v>3</v>
      </c>
      <c r="J209" s="314">
        <f>+'Yr 3 Operating Statement of Act'!J209*(1+'Operating Statement of Act'!$M$79)</f>
        <v>51617.781359375011</v>
      </c>
      <c r="K209" s="487"/>
      <c r="L209" s="491"/>
      <c r="M209" s="487"/>
      <c r="N209" s="487"/>
      <c r="O209" s="487"/>
      <c r="P209" s="487"/>
      <c r="Q209" s="237"/>
      <c r="R209" s="237"/>
      <c r="S209" s="237"/>
      <c r="T209" s="237"/>
      <c r="U209" s="102"/>
      <c r="V209" s="102"/>
      <c r="W209" s="102"/>
      <c r="X209" s="102"/>
      <c r="Y209" s="102"/>
    </row>
    <row r="210" spans="1:25" x14ac:dyDescent="0.2">
      <c r="A210" s="225">
        <v>149</v>
      </c>
      <c r="B210" s="37"/>
      <c r="C210" s="10" t="s">
        <v>83</v>
      </c>
      <c r="D210" s="10"/>
      <c r="E210" s="19" t="s">
        <v>84</v>
      </c>
      <c r="F210" s="159" t="s">
        <v>142</v>
      </c>
      <c r="G210" s="303">
        <v>3608.1072000000004</v>
      </c>
      <c r="H210" s="268" t="s">
        <v>467</v>
      </c>
      <c r="I210" s="487"/>
      <c r="J210" s="491"/>
      <c r="K210" s="491"/>
      <c r="L210" s="491"/>
      <c r="M210" s="487"/>
      <c r="N210" s="487"/>
      <c r="O210" s="487"/>
      <c r="P210" s="487"/>
      <c r="Q210" s="237"/>
      <c r="R210" s="237"/>
      <c r="S210" s="237"/>
      <c r="T210" s="237"/>
      <c r="U210" s="102"/>
      <c r="V210" s="102"/>
      <c r="W210" s="102"/>
      <c r="X210" s="102"/>
      <c r="Y210" s="102"/>
    </row>
    <row r="211" spans="1:25" x14ac:dyDescent="0.2">
      <c r="A211" s="225">
        <v>150</v>
      </c>
      <c r="B211" s="37"/>
      <c r="C211" s="10" t="s">
        <v>85</v>
      </c>
      <c r="D211" s="10"/>
      <c r="E211" s="19" t="s">
        <v>86</v>
      </c>
      <c r="F211" s="159" t="s">
        <v>142</v>
      </c>
      <c r="G211" s="303"/>
      <c r="H211" s="268"/>
      <c r="I211" s="487"/>
      <c r="J211" s="487"/>
      <c r="K211" s="487"/>
      <c r="L211" s="491"/>
      <c r="M211" s="487"/>
      <c r="N211" s="487"/>
      <c r="O211" s="487"/>
      <c r="P211" s="487"/>
      <c r="Q211" s="237"/>
      <c r="R211" s="237"/>
      <c r="S211" s="237"/>
      <c r="T211" s="237"/>
      <c r="U211" s="102"/>
      <c r="V211" s="102"/>
      <c r="W211" s="102"/>
      <c r="X211" s="102"/>
      <c r="Y211" s="102"/>
    </row>
    <row r="212" spans="1:25" x14ac:dyDescent="0.2">
      <c r="A212" s="225">
        <v>151</v>
      </c>
      <c r="B212" s="37"/>
      <c r="C212" s="10" t="s">
        <v>111</v>
      </c>
      <c r="D212" s="10"/>
      <c r="E212" s="19" t="s">
        <v>112</v>
      </c>
      <c r="F212" s="159" t="s">
        <v>142</v>
      </c>
      <c r="G212" s="303"/>
      <c r="H212" s="268"/>
      <c r="I212" s="487"/>
      <c r="J212" s="487"/>
      <c r="K212" s="487"/>
      <c r="L212" s="491"/>
      <c r="M212" s="487"/>
      <c r="N212" s="487"/>
      <c r="O212" s="487"/>
      <c r="P212" s="487"/>
      <c r="Q212" s="237"/>
      <c r="R212" s="237"/>
      <c r="S212" s="237"/>
      <c r="T212" s="237"/>
      <c r="U212" s="102"/>
      <c r="V212" s="102"/>
      <c r="W212" s="102"/>
      <c r="X212" s="102"/>
      <c r="Y212" s="102"/>
    </row>
    <row r="213" spans="1:25" x14ac:dyDescent="0.2">
      <c r="A213" s="225">
        <v>152</v>
      </c>
      <c r="B213" s="37"/>
      <c r="C213" s="10" t="s">
        <v>143</v>
      </c>
      <c r="D213" s="10"/>
      <c r="E213" s="19" t="s">
        <v>144</v>
      </c>
      <c r="F213" s="159" t="s">
        <v>142</v>
      </c>
      <c r="G213" s="303"/>
      <c r="H213" s="268"/>
      <c r="I213" s="487"/>
      <c r="J213" s="487"/>
      <c r="K213" s="487"/>
      <c r="L213" s="491"/>
      <c r="M213" s="487"/>
      <c r="N213" s="487"/>
      <c r="O213" s="487"/>
      <c r="P213" s="487"/>
      <c r="Q213" s="237"/>
      <c r="R213" s="237"/>
      <c r="S213" s="237"/>
      <c r="T213" s="237"/>
      <c r="U213" s="102"/>
      <c r="V213" s="102"/>
      <c r="W213" s="102"/>
      <c r="X213" s="102"/>
      <c r="Y213" s="102"/>
    </row>
    <row r="214" spans="1:25" x14ac:dyDescent="0.2">
      <c r="A214" s="225">
        <v>153</v>
      </c>
      <c r="B214" s="37"/>
      <c r="C214" s="10" t="s">
        <v>87</v>
      </c>
      <c r="D214" s="10"/>
      <c r="E214" s="19" t="s">
        <v>88</v>
      </c>
      <c r="F214" s="159" t="s">
        <v>142</v>
      </c>
      <c r="G214" s="303">
        <v>5306.04</v>
      </c>
      <c r="H214" s="268" t="s">
        <v>515</v>
      </c>
      <c r="I214" s="487"/>
      <c r="J214" s="491"/>
      <c r="K214" s="491"/>
      <c r="L214" s="491"/>
      <c r="M214" s="487"/>
      <c r="N214" s="487"/>
      <c r="O214" s="487"/>
      <c r="P214" s="487"/>
      <c r="Q214" s="237"/>
      <c r="R214" s="237"/>
      <c r="S214" s="237"/>
      <c r="T214" s="237"/>
      <c r="U214" s="102"/>
      <c r="V214" s="102"/>
      <c r="W214" s="102"/>
      <c r="X214" s="102"/>
      <c r="Y214" s="102"/>
    </row>
    <row r="215" spans="1:25" x14ac:dyDescent="0.2">
      <c r="A215" s="225">
        <v>154</v>
      </c>
      <c r="B215" s="37"/>
      <c r="C215" s="10" t="s">
        <v>110</v>
      </c>
      <c r="D215" s="10"/>
      <c r="E215" s="19" t="s">
        <v>90</v>
      </c>
      <c r="F215" s="159" t="s">
        <v>142</v>
      </c>
      <c r="G215" s="303">
        <v>92749.579200000007</v>
      </c>
      <c r="H215" s="268" t="s">
        <v>435</v>
      </c>
      <c r="I215" s="487"/>
      <c r="J215" s="491"/>
      <c r="K215" s="487"/>
      <c r="L215" s="491"/>
      <c r="M215" s="487"/>
      <c r="N215" s="487"/>
      <c r="O215" s="487"/>
      <c r="P215" s="487"/>
      <c r="Q215" s="237"/>
      <c r="R215" s="237"/>
      <c r="S215" s="237"/>
      <c r="T215" s="237"/>
      <c r="U215" s="102"/>
      <c r="V215" s="102"/>
      <c r="W215" s="102"/>
      <c r="X215" s="102"/>
      <c r="Y215" s="102"/>
    </row>
    <row r="216" spans="1:25" x14ac:dyDescent="0.2">
      <c r="A216" s="225">
        <v>155</v>
      </c>
      <c r="B216" s="37"/>
      <c r="C216" s="10" t="s">
        <v>242</v>
      </c>
      <c r="D216" s="10"/>
      <c r="E216" s="19" t="s">
        <v>243</v>
      </c>
      <c r="F216" s="159" t="s">
        <v>142</v>
      </c>
      <c r="G216" s="303"/>
      <c r="H216" s="268"/>
      <c r="I216" s="487"/>
      <c r="J216" s="487"/>
      <c r="K216" s="487"/>
      <c r="L216" s="491"/>
      <c r="M216" s="487"/>
      <c r="N216" s="487"/>
      <c r="O216" s="487"/>
      <c r="P216" s="487"/>
      <c r="Q216" s="237"/>
      <c r="R216" s="237"/>
      <c r="S216" s="237"/>
      <c r="T216" s="237"/>
      <c r="U216" s="102"/>
      <c r="V216" s="102"/>
      <c r="W216" s="102"/>
      <c r="X216" s="102"/>
      <c r="Y216" s="102"/>
    </row>
    <row r="217" spans="1:25" x14ac:dyDescent="0.2">
      <c r="A217" s="225">
        <v>156</v>
      </c>
      <c r="B217" s="37"/>
      <c r="C217" s="10" t="s">
        <v>296</v>
      </c>
      <c r="D217" s="10"/>
      <c r="E217" s="19" t="s">
        <v>116</v>
      </c>
      <c r="F217" s="159" t="s">
        <v>142</v>
      </c>
      <c r="G217" s="303">
        <v>2228.5368000000003</v>
      </c>
      <c r="H217" s="268" t="s">
        <v>428</v>
      </c>
      <c r="I217" s="487"/>
      <c r="J217" s="491"/>
      <c r="K217" s="487"/>
      <c r="L217" s="491"/>
      <c r="M217" s="487"/>
      <c r="N217" s="487"/>
      <c r="O217" s="487"/>
      <c r="P217" s="487"/>
      <c r="Q217" s="237"/>
      <c r="R217" s="237"/>
      <c r="S217" s="237"/>
      <c r="T217" s="237"/>
      <c r="U217" s="102"/>
      <c r="V217" s="102"/>
      <c r="W217" s="102"/>
      <c r="X217" s="102"/>
      <c r="Y217" s="102"/>
    </row>
    <row r="218" spans="1:25" x14ac:dyDescent="0.2">
      <c r="A218" s="225">
        <v>157</v>
      </c>
      <c r="B218" s="37"/>
      <c r="C218" s="10" t="s">
        <v>95</v>
      </c>
      <c r="D218" s="10"/>
      <c r="E218" s="19" t="s">
        <v>96</v>
      </c>
      <c r="F218" s="159" t="s">
        <v>142</v>
      </c>
      <c r="G218" s="303">
        <f>+G70*0.01</f>
        <v>87048.910544615312</v>
      </c>
      <c r="H218" s="268" t="s">
        <v>437</v>
      </c>
      <c r="I218" s="487"/>
      <c r="J218" s="487"/>
      <c r="K218" s="487"/>
      <c r="L218" s="491"/>
      <c r="M218" s="487"/>
      <c r="N218" s="500"/>
      <c r="O218" s="487"/>
      <c r="P218" s="487"/>
      <c r="Q218" s="237"/>
      <c r="R218" s="237"/>
      <c r="S218" s="237"/>
      <c r="T218" s="237"/>
      <c r="U218" s="102"/>
      <c r="V218" s="102"/>
      <c r="W218" s="102"/>
      <c r="X218" s="102"/>
      <c r="Y218" s="102"/>
    </row>
    <row r="219" spans="1:25" x14ac:dyDescent="0.2">
      <c r="A219" s="225">
        <v>158</v>
      </c>
      <c r="B219" s="37"/>
      <c r="C219" s="10" t="s">
        <v>295</v>
      </c>
      <c r="D219" s="10"/>
      <c r="E219" s="19" t="s">
        <v>97</v>
      </c>
      <c r="F219" s="159" t="s">
        <v>11</v>
      </c>
      <c r="G219" s="303">
        <f>+SUM(G$207:G$209)*$I219</f>
        <v>59568.914806082386</v>
      </c>
      <c r="H219" s="268"/>
      <c r="I219" s="492">
        <f>'KIPP Assumptions'!$B$105+'KIPP Assumptions'!$B$106+'KIPP Assumptions'!$B$107+'KIPP Assumptions'!$B$108+'KIPP Assumptions'!$B$109</f>
        <v>7.0773334087038758E-2</v>
      </c>
      <c r="J219" s="487"/>
      <c r="K219" s="487"/>
      <c r="L219" s="491"/>
      <c r="M219" s="487"/>
      <c r="N219" s="487"/>
      <c r="O219" s="487"/>
      <c r="P219" s="487"/>
      <c r="Q219" s="237"/>
      <c r="R219" s="237"/>
      <c r="S219" s="237"/>
      <c r="T219" s="237"/>
      <c r="U219" s="102"/>
      <c r="V219" s="102"/>
      <c r="W219" s="102"/>
      <c r="X219" s="102"/>
      <c r="Y219" s="102"/>
    </row>
    <row r="220" spans="1:25" x14ac:dyDescent="0.2">
      <c r="A220" s="225">
        <v>159</v>
      </c>
      <c r="B220" s="37"/>
      <c r="C220" s="10" t="s">
        <v>98</v>
      </c>
      <c r="D220" s="10"/>
      <c r="E220" s="19" t="s">
        <v>99</v>
      </c>
      <c r="F220" s="159" t="s">
        <v>11</v>
      </c>
      <c r="G220" s="303">
        <f t="shared" ref="G220:G223" si="6">+SUM(G$207:G$209)*$I220</f>
        <v>52184.523530218765</v>
      </c>
      <c r="H220" s="268"/>
      <c r="I220" s="492">
        <f>'KIPP Assumptions'!$B$111</f>
        <v>6.2E-2</v>
      </c>
      <c r="J220" s="487"/>
      <c r="K220" s="487"/>
      <c r="L220" s="491"/>
      <c r="M220" s="487"/>
      <c r="N220" s="487"/>
      <c r="O220" s="487"/>
      <c r="P220" s="487"/>
      <c r="Q220" s="237"/>
      <c r="R220" s="237"/>
      <c r="S220" s="237"/>
      <c r="T220" s="237"/>
      <c r="U220" s="102"/>
      <c r="V220" s="102"/>
      <c r="W220" s="102"/>
      <c r="X220" s="102"/>
      <c r="Y220" s="102"/>
    </row>
    <row r="221" spans="1:25" x14ac:dyDescent="0.2">
      <c r="A221" s="225">
        <v>160</v>
      </c>
      <c r="B221" s="37"/>
      <c r="C221" s="10" t="s">
        <v>100</v>
      </c>
      <c r="D221" s="10"/>
      <c r="E221" s="19" t="s">
        <v>101</v>
      </c>
      <c r="F221" s="159" t="s">
        <v>11</v>
      </c>
      <c r="G221" s="303">
        <f t="shared" si="6"/>
        <v>12204.445019164066</v>
      </c>
      <c r="H221" s="268"/>
      <c r="I221" s="492">
        <f>'KIPP Assumptions'!$B$110</f>
        <v>1.4500000000000001E-2</v>
      </c>
      <c r="J221" s="487"/>
      <c r="K221" s="487"/>
      <c r="L221" s="491"/>
      <c r="M221" s="487"/>
      <c r="N221" s="487"/>
      <c r="O221" s="487"/>
      <c r="P221" s="487"/>
      <c r="Q221" s="237"/>
      <c r="R221" s="237"/>
      <c r="S221" s="237"/>
      <c r="T221" s="237"/>
      <c r="U221" s="102"/>
      <c r="V221" s="102"/>
      <c r="W221" s="102"/>
      <c r="X221" s="102"/>
      <c r="Y221" s="102"/>
    </row>
    <row r="222" spans="1:25" x14ac:dyDescent="0.2">
      <c r="A222" s="225">
        <v>161</v>
      </c>
      <c r="B222" s="37"/>
      <c r="C222" s="10" t="s">
        <v>219</v>
      </c>
      <c r="D222" s="10"/>
      <c r="E222" s="19" t="s">
        <v>220</v>
      </c>
      <c r="F222" s="159" t="s">
        <v>11</v>
      </c>
      <c r="G222" s="303">
        <f t="shared" si="6"/>
        <v>27042.598181067126</v>
      </c>
      <c r="H222" s="268"/>
      <c r="I222" s="492">
        <f>+'KIPP Assumptions'!$B$113</f>
        <v>3.21290868212155E-2</v>
      </c>
      <c r="J222" s="487"/>
      <c r="K222" s="487"/>
      <c r="L222" s="491"/>
      <c r="M222" s="487"/>
      <c r="N222" s="487"/>
      <c r="O222" s="487"/>
      <c r="P222" s="487"/>
      <c r="Q222" s="237"/>
      <c r="R222" s="237"/>
      <c r="S222" s="237"/>
      <c r="T222" s="237"/>
      <c r="U222" s="102"/>
      <c r="V222" s="102"/>
      <c r="W222" s="102"/>
      <c r="X222" s="102"/>
      <c r="Y222" s="102"/>
    </row>
    <row r="223" spans="1:25" x14ac:dyDescent="0.2">
      <c r="A223" s="225">
        <v>162</v>
      </c>
      <c r="B223" s="37"/>
      <c r="C223" s="10" t="s">
        <v>102</v>
      </c>
      <c r="D223" s="10"/>
      <c r="E223" s="19" t="s">
        <v>103</v>
      </c>
      <c r="F223" s="159" t="s">
        <v>11</v>
      </c>
      <c r="G223" s="303">
        <f t="shared" si="6"/>
        <v>841.68586339062529</v>
      </c>
      <c r="H223" s="268"/>
      <c r="I223" s="492">
        <f>+'KIPP Assumptions'!$B$112</f>
        <v>1E-3</v>
      </c>
      <c r="J223" s="487"/>
      <c r="K223" s="487"/>
      <c r="L223" s="491"/>
      <c r="M223" s="487"/>
      <c r="N223" s="487"/>
      <c r="O223" s="487"/>
      <c r="P223" s="487"/>
      <c r="Q223" s="237"/>
      <c r="R223" s="237"/>
      <c r="S223" s="237"/>
      <c r="T223" s="237"/>
      <c r="U223" s="102"/>
      <c r="V223" s="102"/>
      <c r="W223" s="102"/>
      <c r="X223" s="102"/>
      <c r="Y223" s="102"/>
    </row>
    <row r="224" spans="1:25" x14ac:dyDescent="0.2">
      <c r="A224" s="225">
        <v>163</v>
      </c>
      <c r="B224" s="37"/>
      <c r="C224" s="10" t="s">
        <v>104</v>
      </c>
      <c r="D224" s="10"/>
      <c r="E224" s="19" t="s">
        <v>105</v>
      </c>
      <c r="F224" s="159" t="s">
        <v>11</v>
      </c>
      <c r="G224" s="303"/>
      <c r="H224" s="268"/>
      <c r="I224" s="487"/>
      <c r="J224" s="487"/>
      <c r="K224" s="487"/>
      <c r="L224" s="491"/>
      <c r="M224" s="487"/>
      <c r="N224" s="487"/>
      <c r="O224" s="487"/>
      <c r="P224" s="487"/>
      <c r="Q224" s="237"/>
      <c r="R224" s="237"/>
      <c r="S224" s="237"/>
      <c r="T224" s="237"/>
      <c r="U224" s="102"/>
      <c r="V224" s="102"/>
      <c r="W224" s="102"/>
      <c r="X224" s="102"/>
      <c r="Y224" s="102"/>
    </row>
    <row r="225" spans="1:25" x14ac:dyDescent="0.2">
      <c r="A225" s="225">
        <v>164</v>
      </c>
      <c r="B225" s="37"/>
      <c r="C225" s="86" t="s">
        <v>283</v>
      </c>
      <c r="D225" s="10"/>
      <c r="E225" s="19"/>
      <c r="F225" s="159"/>
      <c r="G225" s="303"/>
      <c r="H225" s="268"/>
      <c r="I225" s="487"/>
      <c r="J225" s="487"/>
      <c r="K225" s="487"/>
      <c r="L225" s="491"/>
      <c r="M225" s="487"/>
      <c r="N225" s="487"/>
      <c r="O225" s="487"/>
      <c r="P225" s="487"/>
      <c r="Q225" s="237"/>
      <c r="R225" s="237"/>
      <c r="S225" s="237"/>
      <c r="T225" s="237"/>
      <c r="U225" s="102"/>
      <c r="V225" s="102"/>
      <c r="W225" s="102"/>
      <c r="X225" s="102"/>
      <c r="Y225" s="102"/>
    </row>
    <row r="226" spans="1:25" x14ac:dyDescent="0.2">
      <c r="A226" s="225">
        <v>165</v>
      </c>
      <c r="B226" s="37"/>
      <c r="C226" s="86"/>
      <c r="D226" s="10"/>
      <c r="E226" s="19"/>
      <c r="F226" s="159"/>
      <c r="G226" s="303"/>
      <c r="H226" s="268"/>
      <c r="I226" s="487"/>
      <c r="J226" s="487"/>
      <c r="K226" s="487"/>
      <c r="L226" s="491"/>
      <c r="M226" s="487"/>
      <c r="N226" s="487"/>
      <c r="O226" s="487"/>
      <c r="P226" s="487"/>
      <c r="Q226" s="237"/>
      <c r="R226" s="237"/>
      <c r="S226" s="237"/>
      <c r="T226" s="237"/>
      <c r="U226" s="102"/>
      <c r="V226" s="102"/>
      <c r="W226" s="102"/>
      <c r="X226" s="102"/>
      <c r="Y226" s="102"/>
    </row>
    <row r="227" spans="1:25" x14ac:dyDescent="0.2">
      <c r="A227" s="225">
        <v>166</v>
      </c>
      <c r="B227" s="84"/>
      <c r="D227" s="14"/>
      <c r="E227" s="15"/>
      <c r="F227" s="167"/>
      <c r="G227" s="315"/>
      <c r="H227" s="283"/>
      <c r="I227" s="487"/>
      <c r="J227" s="487"/>
      <c r="K227" s="487"/>
      <c r="L227" s="491"/>
      <c r="M227" s="487"/>
      <c r="N227" s="487"/>
      <c r="O227" s="487"/>
      <c r="P227" s="487"/>
      <c r="Q227" s="237"/>
      <c r="R227" s="237"/>
      <c r="S227" s="237"/>
      <c r="T227" s="237"/>
      <c r="U227" s="102"/>
      <c r="V227" s="102"/>
      <c r="W227" s="102"/>
      <c r="X227" s="102"/>
      <c r="Y227" s="102"/>
    </row>
    <row r="228" spans="1:25" ht="15" x14ac:dyDescent="0.25">
      <c r="A228" s="226">
        <v>167</v>
      </c>
      <c r="B228" s="88" t="s">
        <v>145</v>
      </c>
      <c r="C228" s="52"/>
      <c r="D228" s="52"/>
      <c r="E228" s="50"/>
      <c r="F228" s="163"/>
      <c r="G228" s="306">
        <f>SUM(G206:G227)</f>
        <v>1184469.2045351635</v>
      </c>
      <c r="H228" s="271"/>
      <c r="I228" s="487"/>
      <c r="J228" s="487"/>
      <c r="K228" s="487"/>
      <c r="L228" s="491"/>
      <c r="M228" s="487"/>
      <c r="N228" s="487"/>
      <c r="O228" s="487"/>
      <c r="P228" s="487"/>
      <c r="Q228" s="237"/>
      <c r="R228" s="237"/>
      <c r="S228" s="237"/>
      <c r="T228" s="237"/>
      <c r="U228" s="102"/>
      <c r="V228" s="102"/>
      <c r="W228" s="102"/>
      <c r="X228" s="102"/>
      <c r="Y228" s="102"/>
    </row>
    <row r="229" spans="1:25" ht="6.75" customHeight="1" x14ac:dyDescent="0.2">
      <c r="A229" s="230"/>
      <c r="B229" s="36"/>
      <c r="C229" s="13"/>
      <c r="D229" s="13"/>
      <c r="E229" s="17"/>
      <c r="F229" s="171"/>
      <c r="G229" s="319"/>
      <c r="H229" s="288"/>
      <c r="I229" s="487"/>
      <c r="J229" s="487"/>
      <c r="K229" s="487"/>
      <c r="L229" s="491"/>
      <c r="M229" s="487"/>
      <c r="N229" s="487"/>
      <c r="O229" s="487"/>
      <c r="P229" s="487"/>
      <c r="Q229" s="237"/>
      <c r="R229" s="237"/>
      <c r="S229" s="237"/>
      <c r="T229" s="237"/>
      <c r="U229" s="102"/>
      <c r="V229" s="102"/>
      <c r="W229" s="102"/>
      <c r="X229" s="102"/>
      <c r="Y229" s="102"/>
    </row>
    <row r="230" spans="1:25" s="5" customFormat="1" ht="15" x14ac:dyDescent="0.25">
      <c r="A230" s="225"/>
      <c r="B230" s="89" t="s">
        <v>27</v>
      </c>
      <c r="C230" s="54"/>
      <c r="D230" s="54"/>
      <c r="E230" s="64"/>
      <c r="F230" s="168"/>
      <c r="G230" s="316"/>
      <c r="H230" s="284"/>
      <c r="I230" s="489"/>
      <c r="J230" s="489"/>
      <c r="K230" s="489"/>
      <c r="L230" s="491"/>
      <c r="M230" s="489"/>
      <c r="N230" s="489"/>
      <c r="O230" s="489"/>
      <c r="P230" s="489"/>
      <c r="Q230" s="244"/>
      <c r="R230" s="244"/>
      <c r="S230" s="244"/>
      <c r="T230" s="244"/>
      <c r="U230" s="240"/>
      <c r="V230" s="240"/>
      <c r="W230" s="240"/>
      <c r="X230" s="240"/>
      <c r="Y230" s="240"/>
    </row>
    <row r="231" spans="1:25" x14ac:dyDescent="0.2">
      <c r="A231" s="225"/>
      <c r="B231" s="37">
        <v>90</v>
      </c>
      <c r="C231" s="10" t="s">
        <v>146</v>
      </c>
      <c r="D231" s="10"/>
      <c r="E231" s="68"/>
      <c r="F231" s="172"/>
      <c r="G231" s="320"/>
      <c r="H231" s="289"/>
      <c r="I231" s="487"/>
      <c r="J231" s="487"/>
      <c r="K231" s="487"/>
      <c r="L231" s="491"/>
      <c r="M231" s="487"/>
      <c r="N231" s="487"/>
      <c r="O231" s="487"/>
      <c r="P231" s="487"/>
      <c r="Q231" s="237"/>
      <c r="R231" s="237"/>
      <c r="S231" s="237"/>
      <c r="T231" s="237"/>
      <c r="U231" s="102"/>
      <c r="V231" s="102"/>
      <c r="W231" s="102"/>
      <c r="X231" s="102"/>
      <c r="Y231" s="102"/>
    </row>
    <row r="232" spans="1:25" x14ac:dyDescent="0.2">
      <c r="A232" s="225"/>
      <c r="B232" s="37"/>
      <c r="C232" s="10" t="s">
        <v>147</v>
      </c>
      <c r="D232" s="10"/>
      <c r="E232" s="72"/>
      <c r="F232" s="157"/>
      <c r="G232" s="301"/>
      <c r="H232" s="266"/>
      <c r="I232" s="487"/>
      <c r="J232" s="487"/>
      <c r="K232" s="487"/>
      <c r="L232" s="491"/>
      <c r="M232" s="487"/>
      <c r="N232" s="487"/>
      <c r="O232" s="487"/>
      <c r="P232" s="487"/>
      <c r="Q232" s="237"/>
      <c r="R232" s="237"/>
      <c r="S232" s="237"/>
      <c r="T232" s="237"/>
      <c r="U232" s="102"/>
      <c r="V232" s="102"/>
      <c r="W232" s="102"/>
      <c r="X232" s="102"/>
      <c r="Y232" s="102"/>
    </row>
    <row r="233" spans="1:25" x14ac:dyDescent="0.2">
      <c r="A233" s="225">
        <v>168</v>
      </c>
      <c r="B233" s="37"/>
      <c r="C233" s="10" t="s">
        <v>182</v>
      </c>
      <c r="D233" s="10" t="s">
        <v>76</v>
      </c>
      <c r="E233" s="19" t="s">
        <v>222</v>
      </c>
      <c r="F233" s="159" t="s">
        <v>244</v>
      </c>
      <c r="G233" s="303"/>
      <c r="H233" s="268"/>
      <c r="I233" s="487"/>
      <c r="J233" s="487"/>
      <c r="K233" s="487"/>
      <c r="L233" s="491"/>
      <c r="M233" s="487"/>
      <c r="N233" s="487"/>
      <c r="O233" s="487"/>
      <c r="P233" s="487"/>
      <c r="Q233" s="237"/>
      <c r="R233" s="237"/>
      <c r="S233" s="237"/>
      <c r="T233" s="237"/>
      <c r="U233" s="102"/>
      <c r="V233" s="102"/>
      <c r="W233" s="102"/>
      <c r="X233" s="102"/>
      <c r="Y233" s="102"/>
    </row>
    <row r="234" spans="1:25" x14ac:dyDescent="0.2">
      <c r="A234" s="225">
        <v>169</v>
      </c>
      <c r="B234" s="37"/>
      <c r="C234" s="10"/>
      <c r="D234" s="10" t="s">
        <v>83</v>
      </c>
      <c r="E234" s="19" t="s">
        <v>84</v>
      </c>
      <c r="F234" s="159" t="s">
        <v>148</v>
      </c>
      <c r="G234" s="303">
        <v>78993.021566820273</v>
      </c>
      <c r="H234" s="268" t="s">
        <v>521</v>
      </c>
      <c r="I234" s="487"/>
      <c r="J234" s="491"/>
      <c r="K234" s="487"/>
      <c r="L234" s="491"/>
      <c r="M234" s="487"/>
      <c r="N234" s="500"/>
      <c r="O234" s="487"/>
      <c r="P234" s="487"/>
      <c r="Q234" s="237"/>
      <c r="R234" s="237"/>
      <c r="S234" s="237"/>
      <c r="T234" s="237"/>
      <c r="U234" s="102"/>
      <c r="V234" s="102"/>
      <c r="W234" s="102"/>
      <c r="X234" s="102"/>
      <c r="Y234" s="102"/>
    </row>
    <row r="235" spans="1:25" x14ac:dyDescent="0.2">
      <c r="A235" s="225">
        <v>170</v>
      </c>
      <c r="B235" s="37"/>
      <c r="C235" s="10"/>
      <c r="D235" s="10" t="s">
        <v>297</v>
      </c>
      <c r="E235" s="19" t="s">
        <v>149</v>
      </c>
      <c r="F235" s="159" t="s">
        <v>148</v>
      </c>
      <c r="G235" s="303"/>
      <c r="H235" s="268"/>
      <c r="I235" s="487"/>
      <c r="J235" s="487"/>
      <c r="K235" s="487"/>
      <c r="L235" s="491"/>
      <c r="M235" s="487"/>
      <c r="N235" s="491"/>
      <c r="O235" s="487"/>
      <c r="P235" s="487"/>
      <c r="Q235" s="237"/>
      <c r="R235" s="237"/>
      <c r="S235" s="237"/>
      <c r="T235" s="237"/>
      <c r="U235" s="102"/>
      <c r="V235" s="102"/>
      <c r="W235" s="102"/>
      <c r="X235" s="102"/>
      <c r="Y235" s="102"/>
    </row>
    <row r="236" spans="1:25" x14ac:dyDescent="0.2">
      <c r="A236" s="225">
        <v>171</v>
      </c>
      <c r="B236" s="37"/>
      <c r="C236" s="10"/>
      <c r="D236" s="10" t="s">
        <v>85</v>
      </c>
      <c r="E236" s="19" t="s">
        <v>86</v>
      </c>
      <c r="F236" s="159" t="s">
        <v>148</v>
      </c>
      <c r="G236" s="303"/>
      <c r="H236" s="268"/>
      <c r="I236" s="487"/>
      <c r="J236" s="487"/>
      <c r="K236" s="487"/>
      <c r="L236" s="491"/>
      <c r="M236" s="487"/>
      <c r="N236" s="491"/>
      <c r="O236" s="487"/>
      <c r="P236" s="487"/>
      <c r="Q236" s="237"/>
      <c r="R236" s="237"/>
      <c r="S236" s="237"/>
      <c r="T236" s="237"/>
      <c r="U236" s="102"/>
      <c r="V236" s="102"/>
      <c r="W236" s="102"/>
      <c r="X236" s="102"/>
      <c r="Y236" s="102"/>
    </row>
    <row r="237" spans="1:25" x14ac:dyDescent="0.2">
      <c r="A237" s="225">
        <v>172</v>
      </c>
      <c r="B237" s="37"/>
      <c r="C237" s="10"/>
      <c r="D237" s="10" t="s">
        <v>111</v>
      </c>
      <c r="E237" s="19" t="s">
        <v>112</v>
      </c>
      <c r="F237" s="159" t="s">
        <v>148</v>
      </c>
      <c r="G237" s="303"/>
      <c r="H237" s="268"/>
      <c r="I237" s="487"/>
      <c r="J237" s="487"/>
      <c r="K237" s="487"/>
      <c r="L237" s="491"/>
      <c r="M237" s="487"/>
      <c r="N237" s="487"/>
      <c r="O237" s="487"/>
      <c r="P237" s="487"/>
      <c r="Q237" s="237"/>
      <c r="R237" s="237"/>
      <c r="S237" s="237"/>
      <c r="T237" s="237"/>
      <c r="U237" s="102"/>
      <c r="V237" s="102"/>
      <c r="W237" s="102"/>
      <c r="X237" s="102"/>
      <c r="Y237" s="102"/>
    </row>
    <row r="238" spans="1:25" x14ac:dyDescent="0.2">
      <c r="A238" s="225">
        <v>173</v>
      </c>
      <c r="B238" s="37"/>
      <c r="C238" s="10"/>
      <c r="D238" s="10" t="s">
        <v>150</v>
      </c>
      <c r="E238" s="19" t="s">
        <v>144</v>
      </c>
      <c r="F238" s="159" t="s">
        <v>148</v>
      </c>
      <c r="G238" s="303"/>
      <c r="H238" s="268"/>
      <c r="I238" s="487"/>
      <c r="J238" s="487"/>
      <c r="K238" s="487"/>
      <c r="L238" s="491"/>
      <c r="M238" s="487"/>
      <c r="N238" s="487"/>
      <c r="O238" s="487"/>
      <c r="P238" s="487"/>
      <c r="Q238" s="237"/>
      <c r="R238" s="237"/>
      <c r="S238" s="237"/>
      <c r="T238" s="237"/>
      <c r="U238" s="102"/>
      <c r="V238" s="102"/>
      <c r="W238" s="102"/>
      <c r="X238" s="102"/>
      <c r="Y238" s="102"/>
    </row>
    <row r="239" spans="1:25" x14ac:dyDescent="0.2">
      <c r="A239" s="225">
        <v>174</v>
      </c>
      <c r="B239" s="37"/>
      <c r="C239" s="10"/>
      <c r="D239" s="10" t="s">
        <v>131</v>
      </c>
      <c r="E239" s="19" t="s">
        <v>132</v>
      </c>
      <c r="F239" s="159" t="s">
        <v>148</v>
      </c>
      <c r="G239" s="303"/>
      <c r="H239" s="268"/>
      <c r="I239" s="487"/>
      <c r="J239" s="487"/>
      <c r="K239" s="487"/>
      <c r="L239" s="491"/>
      <c r="M239" s="487"/>
      <c r="N239" s="487"/>
      <c r="O239" s="487"/>
      <c r="P239" s="487"/>
      <c r="Q239" s="237"/>
      <c r="R239" s="237"/>
      <c r="S239" s="237"/>
      <c r="T239" s="237"/>
      <c r="U239" s="102"/>
      <c r="V239" s="102"/>
      <c r="W239" s="102"/>
      <c r="X239" s="102"/>
      <c r="Y239" s="102"/>
    </row>
    <row r="240" spans="1:25" x14ac:dyDescent="0.2">
      <c r="A240" s="225">
        <v>175</v>
      </c>
      <c r="B240" s="37"/>
      <c r="C240" s="10"/>
      <c r="D240" s="10" t="s">
        <v>87</v>
      </c>
      <c r="E240" s="19" t="s">
        <v>88</v>
      </c>
      <c r="F240" s="159" t="s">
        <v>148</v>
      </c>
      <c r="G240" s="303"/>
      <c r="H240" s="268"/>
      <c r="I240" s="487"/>
      <c r="J240" s="487"/>
      <c r="K240" s="487"/>
      <c r="L240" s="491"/>
      <c r="M240" s="487"/>
      <c r="N240" s="487"/>
      <c r="O240" s="487"/>
      <c r="P240" s="487"/>
      <c r="Q240" s="237"/>
      <c r="R240" s="237"/>
      <c r="S240" s="237"/>
      <c r="T240" s="237"/>
      <c r="U240" s="102"/>
      <c r="V240" s="102"/>
      <c r="W240" s="102"/>
      <c r="X240" s="102"/>
      <c r="Y240" s="102"/>
    </row>
    <row r="241" spans="1:25" x14ac:dyDescent="0.2">
      <c r="A241" s="225">
        <v>176</v>
      </c>
      <c r="B241" s="37"/>
      <c r="C241" s="10"/>
      <c r="D241" s="10" t="s">
        <v>110</v>
      </c>
      <c r="E241" s="19" t="s">
        <v>90</v>
      </c>
      <c r="F241" s="159" t="s">
        <v>148</v>
      </c>
      <c r="G241" s="303"/>
      <c r="H241" s="268"/>
      <c r="I241" s="487"/>
      <c r="J241" s="487"/>
      <c r="K241" s="487"/>
      <c r="L241" s="491"/>
      <c r="M241" s="487"/>
      <c r="N241" s="487"/>
      <c r="O241" s="487"/>
      <c r="P241" s="487"/>
      <c r="Q241" s="237"/>
      <c r="R241" s="237"/>
      <c r="S241" s="237"/>
      <c r="T241" s="237"/>
      <c r="U241" s="102"/>
      <c r="V241" s="102"/>
      <c r="W241" s="102"/>
      <c r="X241" s="102"/>
      <c r="Y241" s="102"/>
    </row>
    <row r="242" spans="1:25" x14ac:dyDescent="0.2">
      <c r="A242" s="225">
        <v>177</v>
      </c>
      <c r="B242" s="37"/>
      <c r="C242" s="10"/>
      <c r="D242" s="10" t="s">
        <v>93</v>
      </c>
      <c r="E242" s="19" t="s">
        <v>94</v>
      </c>
      <c r="F242" s="159" t="s">
        <v>148</v>
      </c>
      <c r="G242" s="303"/>
      <c r="H242" s="268"/>
      <c r="I242" s="487"/>
      <c r="J242" s="487"/>
      <c r="K242" s="487"/>
      <c r="L242" s="491"/>
      <c r="M242" s="487"/>
      <c r="N242" s="487"/>
      <c r="O242" s="487"/>
      <c r="P242" s="487"/>
      <c r="Q242" s="237"/>
      <c r="R242" s="237"/>
      <c r="S242" s="237"/>
      <c r="T242" s="237"/>
      <c r="U242" s="102"/>
      <c r="V242" s="102"/>
      <c r="W242" s="102"/>
      <c r="X242" s="102"/>
      <c r="Y242" s="102"/>
    </row>
    <row r="243" spans="1:25" x14ac:dyDescent="0.2">
      <c r="A243" s="225">
        <v>178</v>
      </c>
      <c r="B243" s="37"/>
      <c r="C243" s="10"/>
      <c r="D243" s="10" t="s">
        <v>151</v>
      </c>
      <c r="E243" s="19" t="s">
        <v>152</v>
      </c>
      <c r="F243" s="159" t="s">
        <v>153</v>
      </c>
      <c r="G243" s="303"/>
      <c r="H243" s="268"/>
      <c r="I243" s="487"/>
      <c r="J243" s="487"/>
      <c r="K243" s="487"/>
      <c r="L243" s="491"/>
      <c r="M243" s="487"/>
      <c r="N243" s="487"/>
      <c r="O243" s="487"/>
      <c r="P243" s="487"/>
      <c r="Q243" s="237"/>
      <c r="R243" s="237"/>
      <c r="S243" s="237"/>
      <c r="T243" s="237"/>
      <c r="U243" s="102"/>
      <c r="V243" s="102"/>
      <c r="W243" s="102"/>
      <c r="X243" s="102"/>
      <c r="Y243" s="102"/>
    </row>
    <row r="244" spans="1:25" x14ac:dyDescent="0.2">
      <c r="A244" s="225">
        <v>179</v>
      </c>
      <c r="B244" s="37"/>
      <c r="C244" s="10"/>
      <c r="D244" s="10" t="s">
        <v>95</v>
      </c>
      <c r="E244" s="19" t="s">
        <v>96</v>
      </c>
      <c r="F244" s="159" t="s">
        <v>148</v>
      </c>
      <c r="G244" s="303"/>
      <c r="H244" s="268"/>
      <c r="I244" s="487"/>
      <c r="J244" s="487"/>
      <c r="K244" s="487"/>
      <c r="L244" s="491"/>
      <c r="M244" s="487"/>
      <c r="N244" s="487"/>
      <c r="O244" s="487"/>
      <c r="P244" s="487"/>
      <c r="Q244" s="237"/>
      <c r="R244" s="237"/>
      <c r="S244" s="237"/>
      <c r="T244" s="237"/>
      <c r="U244" s="102"/>
      <c r="V244" s="102"/>
      <c r="W244" s="102"/>
      <c r="X244" s="102"/>
      <c r="Y244" s="102"/>
    </row>
    <row r="245" spans="1:25" x14ac:dyDescent="0.2">
      <c r="A245" s="225">
        <v>180</v>
      </c>
      <c r="B245" s="37"/>
      <c r="C245" s="10"/>
      <c r="D245" s="10" t="s">
        <v>295</v>
      </c>
      <c r="E245" s="19" t="s">
        <v>97</v>
      </c>
      <c r="F245" s="159" t="s">
        <v>244</v>
      </c>
      <c r="G245" s="303"/>
      <c r="H245" s="268"/>
      <c r="I245" s="487"/>
      <c r="J245" s="487"/>
      <c r="K245" s="487"/>
      <c r="L245" s="491"/>
      <c r="M245" s="487"/>
      <c r="N245" s="487"/>
      <c r="O245" s="487"/>
      <c r="P245" s="487"/>
      <c r="Q245" s="237"/>
      <c r="R245" s="237"/>
      <c r="S245" s="237"/>
      <c r="T245" s="237"/>
      <c r="U245" s="102"/>
      <c r="V245" s="102"/>
      <c r="W245" s="102"/>
      <c r="X245" s="102"/>
      <c r="Y245" s="102"/>
    </row>
    <row r="246" spans="1:25" x14ac:dyDescent="0.2">
      <c r="A246" s="225">
        <v>181</v>
      </c>
      <c r="B246" s="37"/>
      <c r="C246" s="10"/>
      <c r="D246" s="10" t="s">
        <v>98</v>
      </c>
      <c r="E246" s="19" t="s">
        <v>99</v>
      </c>
      <c r="F246" s="159" t="s">
        <v>244</v>
      </c>
      <c r="G246" s="303"/>
      <c r="H246" s="268"/>
      <c r="I246" s="487"/>
      <c r="J246" s="487"/>
      <c r="K246" s="487"/>
      <c r="L246" s="491"/>
      <c r="M246" s="487"/>
      <c r="N246" s="487"/>
      <c r="O246" s="487"/>
      <c r="P246" s="487"/>
      <c r="Q246" s="237"/>
      <c r="R246" s="237"/>
      <c r="S246" s="237"/>
      <c r="T246" s="237"/>
      <c r="U246" s="102"/>
      <c r="V246" s="102"/>
      <c r="W246" s="102"/>
      <c r="X246" s="102"/>
      <c r="Y246" s="102"/>
    </row>
    <row r="247" spans="1:25" x14ac:dyDescent="0.2">
      <c r="A247" s="225">
        <v>182</v>
      </c>
      <c r="B247" s="37"/>
      <c r="C247" s="10"/>
      <c r="D247" s="10" t="s">
        <v>100</v>
      </c>
      <c r="E247" s="19" t="s">
        <v>101</v>
      </c>
      <c r="F247" s="159" t="s">
        <v>244</v>
      </c>
      <c r="G247" s="303"/>
      <c r="H247" s="268"/>
      <c r="I247" s="487"/>
      <c r="J247" s="487"/>
      <c r="K247" s="487"/>
      <c r="L247" s="491"/>
      <c r="M247" s="487"/>
      <c r="N247" s="487"/>
      <c r="O247" s="487"/>
      <c r="P247" s="487"/>
      <c r="Q247" s="237"/>
      <c r="R247" s="237"/>
      <c r="S247" s="237"/>
      <c r="T247" s="237"/>
      <c r="U247" s="102"/>
      <c r="V247" s="102"/>
      <c r="W247" s="102"/>
      <c r="X247" s="102"/>
      <c r="Y247" s="102"/>
    </row>
    <row r="248" spans="1:25" x14ac:dyDescent="0.2">
      <c r="A248" s="225">
        <v>183</v>
      </c>
      <c r="B248" s="37"/>
      <c r="C248" s="10"/>
      <c r="D248" s="10" t="s">
        <v>219</v>
      </c>
      <c r="E248" s="19" t="s">
        <v>220</v>
      </c>
      <c r="F248" s="159" t="s">
        <v>244</v>
      </c>
      <c r="G248" s="303"/>
      <c r="H248" s="268"/>
      <c r="I248" s="487"/>
      <c r="J248" s="487"/>
      <c r="K248" s="487"/>
      <c r="L248" s="491"/>
      <c r="M248" s="487"/>
      <c r="N248" s="487"/>
      <c r="O248" s="487"/>
      <c r="P248" s="487"/>
      <c r="Q248" s="237"/>
      <c r="R248" s="237"/>
      <c r="S248" s="237"/>
      <c r="T248" s="237"/>
      <c r="U248" s="102"/>
      <c r="V248" s="102"/>
      <c r="W248" s="102"/>
      <c r="X248" s="102"/>
      <c r="Y248" s="102"/>
    </row>
    <row r="249" spans="1:25" x14ac:dyDescent="0.2">
      <c r="A249" s="225">
        <v>184</v>
      </c>
      <c r="B249" s="37"/>
      <c r="C249" s="10"/>
      <c r="D249" s="10" t="s">
        <v>102</v>
      </c>
      <c r="E249" s="19" t="s">
        <v>103</v>
      </c>
      <c r="F249" s="159" t="s">
        <v>244</v>
      </c>
      <c r="G249" s="303"/>
      <c r="H249" s="268"/>
      <c r="I249" s="487"/>
      <c r="J249" s="487"/>
      <c r="K249" s="487"/>
      <c r="L249" s="491"/>
      <c r="M249" s="487"/>
      <c r="N249" s="487"/>
      <c r="O249" s="487"/>
      <c r="P249" s="487"/>
      <c r="Q249" s="237"/>
      <c r="R249" s="237"/>
      <c r="S249" s="237"/>
      <c r="T249" s="237"/>
      <c r="U249" s="102"/>
      <c r="V249" s="102"/>
      <c r="W249" s="102"/>
      <c r="X249" s="102"/>
      <c r="Y249" s="102"/>
    </row>
    <row r="250" spans="1:25" x14ac:dyDescent="0.2">
      <c r="A250" s="225">
        <v>185</v>
      </c>
      <c r="B250" s="37"/>
      <c r="C250" s="10"/>
      <c r="D250" s="10" t="s">
        <v>104</v>
      </c>
      <c r="E250" s="19" t="s">
        <v>105</v>
      </c>
      <c r="F250" s="159" t="s">
        <v>244</v>
      </c>
      <c r="G250" s="303"/>
      <c r="H250" s="268"/>
      <c r="I250" s="487"/>
      <c r="J250" s="487"/>
      <c r="K250" s="487"/>
      <c r="L250" s="491"/>
      <c r="M250" s="487"/>
      <c r="N250" s="487"/>
      <c r="O250" s="487"/>
      <c r="P250" s="487"/>
      <c r="Q250" s="237"/>
      <c r="R250" s="237"/>
      <c r="S250" s="237"/>
      <c r="T250" s="237"/>
      <c r="U250" s="102"/>
      <c r="V250" s="102"/>
      <c r="W250" s="102"/>
      <c r="X250" s="102"/>
      <c r="Y250" s="102"/>
    </row>
    <row r="251" spans="1:25" x14ac:dyDescent="0.2">
      <c r="A251" s="225">
        <v>186</v>
      </c>
      <c r="B251" s="37"/>
      <c r="C251" s="86"/>
      <c r="D251" s="10"/>
      <c r="E251" s="19"/>
      <c r="F251" s="159"/>
      <c r="G251" s="303"/>
      <c r="H251" s="268"/>
      <c r="I251" s="487"/>
      <c r="J251" s="487"/>
      <c r="K251" s="487"/>
      <c r="L251" s="491"/>
      <c r="M251" s="487"/>
      <c r="N251" s="487"/>
      <c r="O251" s="487"/>
      <c r="P251" s="487"/>
      <c r="Q251" s="237"/>
      <c r="R251" s="237"/>
      <c r="S251" s="237"/>
      <c r="T251" s="237"/>
      <c r="U251" s="102"/>
      <c r="V251" s="102"/>
      <c r="W251" s="102"/>
      <c r="X251" s="102"/>
      <c r="Y251" s="102"/>
    </row>
    <row r="252" spans="1:25" x14ac:dyDescent="0.2">
      <c r="A252" s="225">
        <v>187</v>
      </c>
      <c r="B252" s="84"/>
      <c r="D252" s="14"/>
      <c r="E252" s="15"/>
      <c r="F252" s="167"/>
      <c r="G252" s="315"/>
      <c r="H252" s="283"/>
      <c r="I252" s="487"/>
      <c r="J252" s="487"/>
      <c r="K252" s="487"/>
      <c r="L252" s="491"/>
      <c r="M252" s="487"/>
      <c r="N252" s="487"/>
      <c r="O252" s="487"/>
      <c r="P252" s="487"/>
      <c r="Q252" s="237"/>
      <c r="R252" s="237"/>
      <c r="S252" s="237"/>
      <c r="T252" s="237"/>
      <c r="U252" s="102"/>
      <c r="V252" s="102"/>
      <c r="W252" s="102"/>
      <c r="X252" s="102"/>
      <c r="Y252" s="102"/>
    </row>
    <row r="253" spans="1:25" x14ac:dyDescent="0.2">
      <c r="A253" s="226">
        <v>188</v>
      </c>
      <c r="B253" s="88" t="s">
        <v>154</v>
      </c>
      <c r="C253" s="7"/>
      <c r="D253" s="7"/>
      <c r="E253" s="50"/>
      <c r="F253" s="163"/>
      <c r="G253" s="306">
        <f>SUM(G231:G252)</f>
        <v>78993.021566820273</v>
      </c>
      <c r="H253" s="271"/>
      <c r="I253" s="487"/>
      <c r="J253" s="487"/>
      <c r="K253" s="487"/>
      <c r="L253" s="491"/>
      <c r="M253" s="487"/>
      <c r="N253" s="487"/>
      <c r="O253" s="487"/>
      <c r="P253" s="487"/>
      <c r="Q253" s="237"/>
      <c r="R253" s="237"/>
      <c r="S253" s="237"/>
      <c r="T253" s="237"/>
      <c r="U253" s="102"/>
      <c r="V253" s="102"/>
      <c r="W253" s="102"/>
      <c r="X253" s="102"/>
      <c r="Y253" s="102"/>
    </row>
    <row r="254" spans="1:25" x14ac:dyDescent="0.2">
      <c r="A254" s="230"/>
      <c r="B254" s="36"/>
      <c r="C254" s="13"/>
      <c r="D254" s="13"/>
      <c r="E254" s="72"/>
      <c r="F254" s="157"/>
      <c r="G254" s="301"/>
      <c r="H254" s="266"/>
      <c r="I254" s="487"/>
      <c r="J254" s="487"/>
      <c r="K254" s="487"/>
      <c r="L254" s="491"/>
      <c r="M254" s="487"/>
      <c r="N254" s="487"/>
      <c r="O254" s="487"/>
      <c r="P254" s="487"/>
      <c r="Q254" s="237"/>
      <c r="R254" s="237"/>
      <c r="S254" s="237"/>
      <c r="T254" s="237"/>
      <c r="U254" s="102"/>
      <c r="V254" s="102"/>
      <c r="W254" s="102"/>
      <c r="X254" s="102"/>
      <c r="Y254" s="102"/>
    </row>
    <row r="255" spans="1:25" s="5" customFormat="1" ht="15" x14ac:dyDescent="0.25">
      <c r="A255" s="225"/>
      <c r="B255" s="89" t="s">
        <v>28</v>
      </c>
      <c r="C255" s="54"/>
      <c r="D255" s="54"/>
      <c r="E255" s="78"/>
      <c r="F255" s="170"/>
      <c r="G255" s="318"/>
      <c r="H255" s="286"/>
      <c r="I255" s="489"/>
      <c r="J255" s="489"/>
      <c r="K255" s="489"/>
      <c r="L255" s="491"/>
      <c r="M255" s="489"/>
      <c r="N255" s="489"/>
      <c r="O255" s="489"/>
      <c r="P255" s="489"/>
      <c r="Q255" s="244"/>
      <c r="R255" s="244"/>
      <c r="S255" s="244"/>
      <c r="T255" s="244"/>
      <c r="U255" s="240"/>
      <c r="V255" s="240"/>
      <c r="W255" s="240"/>
      <c r="X255" s="240"/>
      <c r="Y255" s="240"/>
    </row>
    <row r="256" spans="1:25" x14ac:dyDescent="0.2">
      <c r="A256" s="225">
        <v>189</v>
      </c>
      <c r="B256" s="37"/>
      <c r="C256" s="10" t="s">
        <v>298</v>
      </c>
      <c r="D256" s="10"/>
      <c r="E256" s="19" t="s">
        <v>222</v>
      </c>
      <c r="F256" s="159" t="s">
        <v>245</v>
      </c>
      <c r="G256" s="303">
        <f>+I256*J256</f>
        <v>0</v>
      </c>
      <c r="H256" s="268" t="s">
        <v>519</v>
      </c>
      <c r="I256" s="493"/>
      <c r="J256" s="314"/>
      <c r="K256" s="487"/>
      <c r="L256" s="491"/>
      <c r="M256" s="487"/>
      <c r="N256" s="487"/>
      <c r="O256" s="487"/>
      <c r="P256" s="487"/>
      <c r="Q256" s="237"/>
      <c r="R256" s="237"/>
      <c r="S256" s="237"/>
      <c r="T256" s="237"/>
      <c r="U256" s="102"/>
      <c r="V256" s="102"/>
      <c r="W256" s="102"/>
      <c r="X256" s="102"/>
      <c r="Y256" s="102"/>
    </row>
    <row r="257" spans="1:25" x14ac:dyDescent="0.2">
      <c r="A257" s="225">
        <v>190</v>
      </c>
      <c r="B257" s="37"/>
      <c r="C257" s="10" t="s">
        <v>83</v>
      </c>
      <c r="D257" s="10"/>
      <c r="E257" s="19" t="s">
        <v>84</v>
      </c>
      <c r="F257" s="159" t="s">
        <v>156</v>
      </c>
      <c r="G257" s="303"/>
      <c r="H257" s="268"/>
      <c r="I257" s="487"/>
      <c r="J257" s="487"/>
      <c r="K257" s="487"/>
      <c r="L257" s="491"/>
      <c r="M257" s="487"/>
      <c r="N257" s="487"/>
      <c r="O257" s="487"/>
      <c r="P257" s="487"/>
      <c r="Q257" s="237"/>
      <c r="R257" s="237"/>
      <c r="S257" s="237"/>
      <c r="T257" s="237"/>
      <c r="U257" s="102"/>
      <c r="V257" s="102"/>
      <c r="W257" s="102"/>
      <c r="X257" s="102"/>
      <c r="Y257" s="102"/>
    </row>
    <row r="258" spans="1:25" x14ac:dyDescent="0.2">
      <c r="A258" s="225">
        <v>191</v>
      </c>
      <c r="B258" s="37"/>
      <c r="C258" s="10" t="s">
        <v>111</v>
      </c>
      <c r="D258" s="10"/>
      <c r="E258" s="19" t="s">
        <v>112</v>
      </c>
      <c r="F258" s="159" t="s">
        <v>157</v>
      </c>
      <c r="G258" s="303">
        <v>45631.944000000003</v>
      </c>
      <c r="H258" s="268" t="s">
        <v>468</v>
      </c>
      <c r="I258" s="487"/>
      <c r="J258" s="491"/>
      <c r="K258" s="487"/>
      <c r="L258" s="491"/>
      <c r="M258" s="487"/>
      <c r="N258" s="487"/>
      <c r="O258" s="487"/>
      <c r="P258" s="487"/>
      <c r="Q258" s="237"/>
      <c r="R258" s="237"/>
      <c r="S258" s="237"/>
      <c r="T258" s="237"/>
      <c r="U258" s="102"/>
      <c r="V258" s="102"/>
      <c r="W258" s="102"/>
      <c r="X258" s="102"/>
      <c r="Y258" s="102"/>
    </row>
    <row r="259" spans="1:25" x14ac:dyDescent="0.2">
      <c r="A259" s="225">
        <v>192</v>
      </c>
      <c r="B259" s="37"/>
      <c r="C259" s="10" t="s">
        <v>158</v>
      </c>
      <c r="D259" s="10"/>
      <c r="E259" s="19" t="s">
        <v>159</v>
      </c>
      <c r="F259" s="159" t="s">
        <v>156</v>
      </c>
      <c r="G259" s="303"/>
      <c r="H259" s="268"/>
      <c r="I259" s="487"/>
      <c r="J259" s="487"/>
      <c r="K259" s="487"/>
      <c r="L259" s="491"/>
      <c r="M259" s="487"/>
      <c r="N259" s="487"/>
      <c r="O259" s="487"/>
      <c r="P259" s="487"/>
      <c r="Q259" s="237"/>
      <c r="R259" s="237"/>
      <c r="S259" s="237"/>
      <c r="T259" s="237"/>
      <c r="U259" s="102"/>
      <c r="V259" s="102"/>
      <c r="W259" s="102"/>
      <c r="X259" s="102"/>
      <c r="Y259" s="102"/>
    </row>
    <row r="260" spans="1:25" x14ac:dyDescent="0.2">
      <c r="A260" s="225">
        <v>193</v>
      </c>
      <c r="B260" s="37"/>
      <c r="C260" s="10" t="s">
        <v>110</v>
      </c>
      <c r="D260" s="10"/>
      <c r="E260" s="19" t="s">
        <v>90</v>
      </c>
      <c r="F260" s="159" t="s">
        <v>156</v>
      </c>
      <c r="G260" s="303"/>
      <c r="H260" s="268"/>
      <c r="I260" s="487"/>
      <c r="J260" s="487"/>
      <c r="K260" s="487"/>
      <c r="L260" s="491"/>
      <c r="M260" s="487"/>
      <c r="N260" s="487"/>
      <c r="O260" s="487"/>
      <c r="P260" s="487"/>
      <c r="Q260" s="237"/>
      <c r="R260" s="237"/>
      <c r="S260" s="237"/>
      <c r="T260" s="237"/>
      <c r="U260" s="102"/>
      <c r="V260" s="102"/>
      <c r="W260" s="102"/>
      <c r="X260" s="102"/>
      <c r="Y260" s="102"/>
    </row>
    <row r="261" spans="1:25" x14ac:dyDescent="0.2">
      <c r="A261" s="225">
        <v>194</v>
      </c>
      <c r="B261" s="37"/>
      <c r="C261" s="10" t="s">
        <v>160</v>
      </c>
      <c r="D261" s="10"/>
      <c r="E261" s="19" t="s">
        <v>115</v>
      </c>
      <c r="F261" s="159" t="s">
        <v>156</v>
      </c>
      <c r="G261" s="303"/>
      <c r="H261" s="268"/>
      <c r="I261" s="487"/>
      <c r="J261" s="487"/>
      <c r="K261" s="487"/>
      <c r="L261" s="491"/>
      <c r="M261" s="487"/>
      <c r="N261" s="487"/>
      <c r="O261" s="487"/>
      <c r="P261" s="487"/>
      <c r="Q261" s="237"/>
      <c r="R261" s="237"/>
      <c r="S261" s="237"/>
      <c r="T261" s="237"/>
      <c r="U261" s="102"/>
      <c r="V261" s="102"/>
      <c r="W261" s="102"/>
      <c r="X261" s="102"/>
      <c r="Y261" s="102"/>
    </row>
    <row r="262" spans="1:25" x14ac:dyDescent="0.2">
      <c r="A262" s="225">
        <v>195</v>
      </c>
      <c r="B262" s="37"/>
      <c r="C262" s="10" t="s">
        <v>93</v>
      </c>
      <c r="D262" s="10"/>
      <c r="E262" s="19" t="s">
        <v>94</v>
      </c>
      <c r="F262" s="159" t="s">
        <v>156</v>
      </c>
      <c r="G262" s="303"/>
      <c r="H262" s="268"/>
      <c r="I262" s="487"/>
      <c r="J262" s="487"/>
      <c r="K262" s="487"/>
      <c r="L262" s="491"/>
      <c r="M262" s="487"/>
      <c r="N262" s="487"/>
      <c r="O262" s="487"/>
      <c r="P262" s="487"/>
      <c r="Q262" s="237"/>
      <c r="R262" s="237"/>
      <c r="S262" s="237"/>
      <c r="T262" s="237"/>
      <c r="U262" s="102"/>
      <c r="V262" s="102"/>
      <c r="W262" s="102"/>
      <c r="X262" s="102"/>
      <c r="Y262" s="102"/>
    </row>
    <row r="263" spans="1:25" x14ac:dyDescent="0.2">
      <c r="A263" s="225">
        <v>196</v>
      </c>
      <c r="B263" s="37"/>
      <c r="C263" s="10" t="s">
        <v>95</v>
      </c>
      <c r="D263" s="10"/>
      <c r="E263" s="19" t="s">
        <v>96</v>
      </c>
      <c r="F263" s="159" t="s">
        <v>156</v>
      </c>
      <c r="G263" s="303"/>
      <c r="H263" s="268"/>
      <c r="I263" s="487"/>
      <c r="J263" s="487"/>
      <c r="K263" s="487"/>
      <c r="L263" s="491"/>
      <c r="M263" s="487"/>
      <c r="N263" s="487"/>
      <c r="O263" s="487"/>
      <c r="P263" s="487"/>
      <c r="Q263" s="237"/>
      <c r="R263" s="237"/>
      <c r="S263" s="237"/>
      <c r="T263" s="237"/>
      <c r="U263" s="102"/>
      <c r="V263" s="102"/>
      <c r="W263" s="102"/>
      <c r="X263" s="102"/>
      <c r="Y263" s="102"/>
    </row>
    <row r="264" spans="1:25" x14ac:dyDescent="0.2">
      <c r="A264" s="225"/>
      <c r="B264" s="37"/>
      <c r="C264" s="10" t="s">
        <v>161</v>
      </c>
      <c r="D264" s="10"/>
      <c r="E264" s="62"/>
      <c r="F264" s="158"/>
      <c r="G264" s="302"/>
      <c r="H264" s="267"/>
      <c r="I264" s="487"/>
      <c r="J264" s="487"/>
      <c r="K264" s="487"/>
      <c r="L264" s="491"/>
      <c r="M264" s="487"/>
      <c r="N264" s="487"/>
      <c r="O264" s="487"/>
      <c r="P264" s="487"/>
      <c r="Q264" s="237"/>
      <c r="R264" s="237"/>
      <c r="S264" s="237"/>
      <c r="T264" s="237"/>
      <c r="U264" s="102"/>
      <c r="V264" s="102"/>
      <c r="W264" s="102"/>
      <c r="X264" s="102"/>
      <c r="Y264" s="102"/>
    </row>
    <row r="265" spans="1:25" x14ac:dyDescent="0.2">
      <c r="A265" s="225">
        <v>197</v>
      </c>
      <c r="B265" s="37"/>
      <c r="C265" s="10"/>
      <c r="D265" s="10" t="s">
        <v>162</v>
      </c>
      <c r="E265" s="19" t="s">
        <v>159</v>
      </c>
      <c r="F265" s="159" t="s">
        <v>155</v>
      </c>
      <c r="G265" s="303"/>
      <c r="H265" s="268"/>
      <c r="I265" s="487"/>
      <c r="J265" s="487"/>
      <c r="K265" s="487"/>
      <c r="L265" s="491"/>
      <c r="M265" s="487"/>
      <c r="N265" s="487"/>
      <c r="O265" s="487"/>
      <c r="P265" s="487"/>
      <c r="Q265" s="237"/>
      <c r="R265" s="237"/>
      <c r="S265" s="237"/>
      <c r="T265" s="237"/>
      <c r="U265" s="102"/>
      <c r="V265" s="102"/>
      <c r="W265" s="102"/>
      <c r="X265" s="102"/>
      <c r="Y265" s="102"/>
    </row>
    <row r="266" spans="1:25" x14ac:dyDescent="0.2">
      <c r="A266" s="225">
        <v>198</v>
      </c>
      <c r="B266" s="37"/>
      <c r="C266" s="10"/>
      <c r="D266" s="10" t="s">
        <v>163</v>
      </c>
      <c r="E266" s="19" t="s">
        <v>164</v>
      </c>
      <c r="F266" s="159" t="s">
        <v>155</v>
      </c>
      <c r="G266" s="321">
        <v>13265.1</v>
      </c>
      <c r="H266" s="268"/>
      <c r="I266" s="487"/>
      <c r="J266" s="491"/>
      <c r="K266" s="487"/>
      <c r="L266" s="491"/>
      <c r="M266" s="487"/>
      <c r="N266" s="487"/>
      <c r="O266" s="487"/>
      <c r="P266" s="487"/>
      <c r="Q266" s="237"/>
      <c r="R266" s="237"/>
      <c r="S266" s="237"/>
      <c r="T266" s="237"/>
      <c r="U266" s="102"/>
      <c r="V266" s="102"/>
      <c r="W266" s="102"/>
      <c r="X266" s="102"/>
      <c r="Y266" s="102"/>
    </row>
    <row r="267" spans="1:25" x14ac:dyDescent="0.2">
      <c r="A267" s="225">
        <v>199</v>
      </c>
      <c r="B267" s="37"/>
      <c r="C267" s="10"/>
      <c r="D267" s="10" t="s">
        <v>165</v>
      </c>
      <c r="E267" s="19" t="s">
        <v>166</v>
      </c>
      <c r="F267" s="159" t="s">
        <v>155</v>
      </c>
      <c r="G267" s="321">
        <v>9869.2343999999994</v>
      </c>
      <c r="H267" s="268"/>
      <c r="I267" s="487"/>
      <c r="J267" s="491"/>
      <c r="K267" s="487"/>
      <c r="L267" s="491"/>
      <c r="M267" s="487"/>
      <c r="N267" s="487"/>
      <c r="O267" s="487"/>
      <c r="P267" s="487"/>
      <c r="Q267" s="237"/>
      <c r="R267" s="237"/>
      <c r="S267" s="237"/>
      <c r="T267" s="237"/>
      <c r="U267" s="102"/>
      <c r="V267" s="102"/>
      <c r="W267" s="102"/>
      <c r="X267" s="102"/>
      <c r="Y267" s="102"/>
    </row>
    <row r="268" spans="1:25" x14ac:dyDescent="0.2">
      <c r="A268" s="225">
        <v>200</v>
      </c>
      <c r="B268" s="37"/>
      <c r="C268" s="10"/>
      <c r="D268" s="10" t="s">
        <v>167</v>
      </c>
      <c r="E268" s="19" t="s">
        <v>168</v>
      </c>
      <c r="F268" s="159" t="s">
        <v>155</v>
      </c>
      <c r="G268" s="321">
        <v>181466.568</v>
      </c>
      <c r="H268" s="268"/>
      <c r="I268" s="487"/>
      <c r="J268" s="491"/>
      <c r="K268" s="487"/>
      <c r="L268" s="491"/>
      <c r="M268" s="487"/>
      <c r="N268" s="487"/>
      <c r="O268" s="487"/>
      <c r="P268" s="487"/>
      <c r="Q268" s="237"/>
      <c r="R268" s="237"/>
      <c r="S268" s="237"/>
      <c r="T268" s="237"/>
      <c r="U268" s="102"/>
      <c r="V268" s="102"/>
      <c r="W268" s="102"/>
      <c r="X268" s="102"/>
      <c r="Y268" s="102"/>
    </row>
    <row r="269" spans="1:25" x14ac:dyDescent="0.2">
      <c r="A269" s="225">
        <v>201</v>
      </c>
      <c r="B269" s="37"/>
      <c r="C269" s="10"/>
      <c r="D269" s="10" t="s">
        <v>85</v>
      </c>
      <c r="E269" s="19" t="s">
        <v>86</v>
      </c>
      <c r="F269" s="159" t="s">
        <v>155</v>
      </c>
      <c r="G269" s="321">
        <v>95880.349732312068</v>
      </c>
      <c r="H269" s="268"/>
      <c r="I269" s="487"/>
      <c r="J269" s="491"/>
      <c r="K269" s="487"/>
      <c r="L269" s="491"/>
      <c r="M269" s="487"/>
      <c r="N269" s="487"/>
      <c r="O269" s="487"/>
      <c r="P269" s="487"/>
      <c r="Q269" s="237"/>
      <c r="R269" s="237"/>
      <c r="S269" s="237"/>
      <c r="T269" s="237"/>
      <c r="U269" s="102"/>
      <c r="V269" s="102"/>
      <c r="W269" s="102"/>
      <c r="X269" s="102"/>
      <c r="Y269" s="102"/>
    </row>
    <row r="270" spans="1:25" x14ac:dyDescent="0.2">
      <c r="A270" s="225">
        <v>202</v>
      </c>
      <c r="B270" s="37"/>
      <c r="C270" s="10"/>
      <c r="D270" s="10" t="s">
        <v>169</v>
      </c>
      <c r="E270" s="19" t="s">
        <v>170</v>
      </c>
      <c r="F270" s="159" t="s">
        <v>155</v>
      </c>
      <c r="G270" s="303">
        <f>+'KIPP Assumptions'!E$6*'KIPP Assumptions'!E$50</f>
        <v>82020.766319999995</v>
      </c>
      <c r="H270" s="268" t="s">
        <v>477</v>
      </c>
      <c r="I270" s="487"/>
      <c r="J270" s="487"/>
      <c r="K270" s="487"/>
      <c r="L270" s="491"/>
      <c r="M270" s="487"/>
      <c r="N270" s="487"/>
      <c r="O270" s="487"/>
      <c r="P270" s="487"/>
      <c r="Q270" s="237"/>
      <c r="R270" s="237"/>
      <c r="S270" s="237"/>
      <c r="T270" s="237"/>
      <c r="U270" s="102"/>
      <c r="V270" s="102"/>
      <c r="W270" s="102"/>
      <c r="X270" s="102"/>
      <c r="Y270" s="102"/>
    </row>
    <row r="271" spans="1:25" x14ac:dyDescent="0.2">
      <c r="A271" s="225">
        <v>203</v>
      </c>
      <c r="B271" s="37"/>
      <c r="C271" s="10"/>
      <c r="D271" s="10" t="s">
        <v>171</v>
      </c>
      <c r="E271" s="19" t="s">
        <v>144</v>
      </c>
      <c r="F271" s="159" t="s">
        <v>155</v>
      </c>
      <c r="G271" s="321">
        <v>0</v>
      </c>
      <c r="H271" s="268"/>
      <c r="I271" s="487"/>
      <c r="J271" s="491"/>
      <c r="K271" s="487"/>
      <c r="L271" s="491"/>
      <c r="M271" s="487"/>
      <c r="N271" s="487"/>
      <c r="O271" s="487"/>
      <c r="P271" s="487"/>
      <c r="Q271" s="237"/>
      <c r="R271" s="237"/>
      <c r="S271" s="237"/>
      <c r="T271" s="237"/>
      <c r="U271" s="102"/>
      <c r="V271" s="102"/>
      <c r="W271" s="102"/>
      <c r="X271" s="102"/>
      <c r="Y271" s="102"/>
    </row>
    <row r="272" spans="1:25" x14ac:dyDescent="0.2">
      <c r="A272" s="225">
        <v>204</v>
      </c>
      <c r="B272" s="37"/>
      <c r="C272" s="10"/>
      <c r="D272" s="10" t="s">
        <v>248</v>
      </c>
      <c r="E272" s="19" t="s">
        <v>249</v>
      </c>
      <c r="F272" s="159" t="s">
        <v>155</v>
      </c>
      <c r="G272" s="321">
        <v>191017.44</v>
      </c>
      <c r="H272" s="268"/>
      <c r="I272" s="487"/>
      <c r="J272" s="491"/>
      <c r="K272" s="487"/>
      <c r="L272" s="491"/>
      <c r="M272" s="487"/>
      <c r="N272" s="487"/>
      <c r="O272" s="487"/>
      <c r="P272" s="487"/>
      <c r="Q272" s="237"/>
      <c r="R272" s="237"/>
      <c r="S272" s="237"/>
      <c r="T272" s="237"/>
      <c r="U272" s="102"/>
      <c r="V272" s="102"/>
      <c r="W272" s="102"/>
      <c r="X272" s="102"/>
      <c r="Y272" s="102"/>
    </row>
    <row r="273" spans="1:25" x14ac:dyDescent="0.2">
      <c r="A273" s="225">
        <v>205</v>
      </c>
      <c r="B273" s="37"/>
      <c r="C273" s="10" t="s">
        <v>172</v>
      </c>
      <c r="D273" s="10"/>
      <c r="E273" s="19" t="s">
        <v>251</v>
      </c>
      <c r="F273" s="159">
        <v>2630</v>
      </c>
      <c r="G273" s="321">
        <v>5836.6440000000002</v>
      </c>
      <c r="H273" s="268"/>
      <c r="I273" s="487"/>
      <c r="J273" s="491"/>
      <c r="K273" s="487"/>
      <c r="L273" s="491"/>
      <c r="M273" s="487"/>
      <c r="N273" s="487"/>
      <c r="O273" s="487"/>
      <c r="P273" s="487"/>
      <c r="Q273" s="237"/>
      <c r="R273" s="237"/>
      <c r="S273" s="237"/>
      <c r="T273" s="237"/>
      <c r="U273" s="102"/>
      <c r="V273" s="102"/>
      <c r="W273" s="102"/>
      <c r="X273" s="102"/>
      <c r="Y273" s="102"/>
    </row>
    <row r="274" spans="1:25" x14ac:dyDescent="0.2">
      <c r="A274" s="225">
        <v>206</v>
      </c>
      <c r="B274" s="37"/>
      <c r="C274" s="10" t="s">
        <v>173</v>
      </c>
      <c r="D274" s="10"/>
      <c r="E274" s="19" t="s">
        <v>251</v>
      </c>
      <c r="F274" s="159">
        <v>2640</v>
      </c>
      <c r="G274" s="321">
        <v>5306.04</v>
      </c>
      <c r="H274" s="268"/>
      <c r="I274" s="487"/>
      <c r="J274" s="491"/>
      <c r="K274" s="487"/>
      <c r="L274" s="491"/>
      <c r="M274" s="487"/>
      <c r="N274" s="487"/>
      <c r="O274" s="487"/>
      <c r="P274" s="487"/>
      <c r="Q274" s="237"/>
      <c r="R274" s="237"/>
      <c r="S274" s="237"/>
      <c r="T274" s="237"/>
      <c r="U274" s="102"/>
      <c r="V274" s="102"/>
      <c r="W274" s="102"/>
      <c r="X274" s="102"/>
      <c r="Y274" s="102"/>
    </row>
    <row r="275" spans="1:25" x14ac:dyDescent="0.2">
      <c r="A275" s="225">
        <v>207</v>
      </c>
      <c r="B275" s="37"/>
      <c r="C275" s="10" t="s">
        <v>174</v>
      </c>
      <c r="D275" s="10"/>
      <c r="E275" s="19" t="s">
        <v>221</v>
      </c>
      <c r="F275" s="159" t="s">
        <v>245</v>
      </c>
      <c r="G275" s="303">
        <v>0</v>
      </c>
      <c r="H275" s="268"/>
      <c r="I275" s="487"/>
      <c r="J275" s="487"/>
      <c r="K275" s="487"/>
      <c r="L275" s="491"/>
      <c r="M275" s="487"/>
      <c r="N275" s="487"/>
      <c r="O275" s="487"/>
      <c r="P275" s="487"/>
      <c r="Q275" s="237"/>
      <c r="R275" s="237"/>
      <c r="S275" s="237"/>
      <c r="T275" s="237"/>
      <c r="U275" s="102"/>
      <c r="V275" s="102"/>
      <c r="W275" s="102"/>
      <c r="X275" s="102"/>
      <c r="Y275" s="102"/>
    </row>
    <row r="276" spans="1:25" x14ac:dyDescent="0.2">
      <c r="A276" s="225">
        <v>208</v>
      </c>
      <c r="B276" s="37"/>
      <c r="C276" s="10" t="s">
        <v>295</v>
      </c>
      <c r="D276" s="10"/>
      <c r="E276" s="19" t="s">
        <v>97</v>
      </c>
      <c r="F276" s="159" t="s">
        <v>245</v>
      </c>
      <c r="G276" s="303">
        <f t="shared" ref="G276:G280" si="7">+SUM(G$256)*$I276</f>
        <v>0</v>
      </c>
      <c r="H276" s="268"/>
      <c r="I276" s="492">
        <f>'KIPP Assumptions'!$B$105+'KIPP Assumptions'!$B$106+'KIPP Assumptions'!$B$107+'KIPP Assumptions'!$B$108+'KIPP Assumptions'!$B$109</f>
        <v>7.0773334087038758E-2</v>
      </c>
      <c r="J276" s="487"/>
      <c r="K276" s="487"/>
      <c r="L276" s="491"/>
      <c r="M276" s="487"/>
      <c r="N276" s="487"/>
      <c r="O276" s="487"/>
      <c r="P276" s="487"/>
      <c r="Q276" s="237"/>
      <c r="R276" s="237"/>
      <c r="S276" s="237"/>
      <c r="T276" s="237"/>
      <c r="U276" s="102"/>
      <c r="V276" s="102"/>
      <c r="W276" s="102"/>
      <c r="X276" s="102"/>
      <c r="Y276" s="102"/>
    </row>
    <row r="277" spans="1:25" x14ac:dyDescent="0.2">
      <c r="A277" s="225">
        <v>209</v>
      </c>
      <c r="B277" s="37"/>
      <c r="C277" s="10" t="s">
        <v>98</v>
      </c>
      <c r="D277" s="10"/>
      <c r="E277" s="19" t="s">
        <v>99</v>
      </c>
      <c r="F277" s="159" t="s">
        <v>245</v>
      </c>
      <c r="G277" s="303">
        <f t="shared" si="7"/>
        <v>0</v>
      </c>
      <c r="H277" s="268"/>
      <c r="I277" s="492">
        <f>'KIPP Assumptions'!$B$111</f>
        <v>6.2E-2</v>
      </c>
      <c r="J277" s="487"/>
      <c r="K277" s="487"/>
      <c r="L277" s="491"/>
      <c r="M277" s="487"/>
      <c r="N277" s="487"/>
      <c r="O277" s="487"/>
      <c r="P277" s="487"/>
      <c r="Q277" s="237"/>
      <c r="R277" s="237"/>
      <c r="S277" s="237"/>
      <c r="T277" s="237"/>
      <c r="U277" s="102"/>
      <c r="V277" s="102"/>
      <c r="W277" s="102"/>
      <c r="X277" s="102"/>
      <c r="Y277" s="102"/>
    </row>
    <row r="278" spans="1:25" x14ac:dyDescent="0.2">
      <c r="A278" s="225">
        <v>210</v>
      </c>
      <c r="B278" s="37"/>
      <c r="C278" s="10" t="s">
        <v>100</v>
      </c>
      <c r="D278" s="10"/>
      <c r="E278" s="19" t="s">
        <v>101</v>
      </c>
      <c r="F278" s="159" t="s">
        <v>245</v>
      </c>
      <c r="G278" s="303">
        <f t="shared" si="7"/>
        <v>0</v>
      </c>
      <c r="H278" s="268"/>
      <c r="I278" s="492">
        <f>'KIPP Assumptions'!$B$110</f>
        <v>1.4500000000000001E-2</v>
      </c>
      <c r="J278" s="487"/>
      <c r="K278" s="487"/>
      <c r="L278" s="491"/>
      <c r="M278" s="487"/>
      <c r="N278" s="487"/>
      <c r="O278" s="487"/>
      <c r="P278" s="487"/>
      <c r="Q278" s="237"/>
      <c r="R278" s="237"/>
      <c r="S278" s="237"/>
      <c r="T278" s="237"/>
      <c r="U278" s="102"/>
      <c r="V278" s="102"/>
      <c r="W278" s="102"/>
      <c r="X278" s="102"/>
      <c r="Y278" s="102"/>
    </row>
    <row r="279" spans="1:25" x14ac:dyDescent="0.2">
      <c r="A279" s="225">
        <v>211</v>
      </c>
      <c r="B279" s="37"/>
      <c r="C279" s="10" t="s">
        <v>219</v>
      </c>
      <c r="D279" s="10"/>
      <c r="E279" s="19" t="s">
        <v>220</v>
      </c>
      <c r="F279" s="159" t="s">
        <v>245</v>
      </c>
      <c r="G279" s="303">
        <f t="shared" si="7"/>
        <v>0</v>
      </c>
      <c r="H279" s="268"/>
      <c r="I279" s="492">
        <f>+'KIPP Assumptions'!$B$113</f>
        <v>3.21290868212155E-2</v>
      </c>
      <c r="J279" s="487"/>
      <c r="K279" s="487"/>
      <c r="L279" s="491"/>
      <c r="M279" s="487"/>
      <c r="N279" s="487"/>
      <c r="O279" s="487"/>
      <c r="P279" s="487"/>
      <c r="Q279" s="237"/>
      <c r="R279" s="237"/>
      <c r="S279" s="237"/>
      <c r="T279" s="237"/>
      <c r="U279" s="102"/>
      <c r="V279" s="102"/>
      <c r="W279" s="102"/>
      <c r="X279" s="102"/>
      <c r="Y279" s="102"/>
    </row>
    <row r="280" spans="1:25" x14ac:dyDescent="0.2">
      <c r="A280" s="225">
        <v>212</v>
      </c>
      <c r="B280" s="37"/>
      <c r="C280" s="10" t="s">
        <v>102</v>
      </c>
      <c r="D280" s="10"/>
      <c r="E280" s="19" t="s">
        <v>103</v>
      </c>
      <c r="F280" s="159" t="s">
        <v>245</v>
      </c>
      <c r="G280" s="303">
        <f t="shared" si="7"/>
        <v>0</v>
      </c>
      <c r="H280" s="268"/>
      <c r="I280" s="492">
        <f>+'KIPP Assumptions'!$B$112</f>
        <v>1E-3</v>
      </c>
      <c r="J280" s="487"/>
      <c r="K280" s="487"/>
      <c r="L280" s="491"/>
      <c r="M280" s="487"/>
      <c r="N280" s="487"/>
      <c r="O280" s="487"/>
      <c r="P280" s="487"/>
      <c r="Q280" s="237"/>
      <c r="R280" s="237"/>
      <c r="S280" s="237"/>
      <c r="T280" s="237"/>
      <c r="U280" s="102"/>
      <c r="V280" s="102"/>
      <c r="W280" s="102"/>
      <c r="X280" s="102"/>
      <c r="Y280" s="102"/>
    </row>
    <row r="281" spans="1:25" x14ac:dyDescent="0.2">
      <c r="A281" s="225">
        <v>213</v>
      </c>
      <c r="B281" s="37"/>
      <c r="C281" s="10" t="s">
        <v>104</v>
      </c>
      <c r="D281" s="10"/>
      <c r="E281" s="19" t="s">
        <v>105</v>
      </c>
      <c r="F281" s="159" t="s">
        <v>245</v>
      </c>
      <c r="G281" s="303"/>
      <c r="H281" s="268"/>
      <c r="I281" s="487"/>
      <c r="J281" s="487"/>
      <c r="K281" s="487"/>
      <c r="L281" s="491"/>
      <c r="M281" s="487"/>
      <c r="N281" s="487"/>
      <c r="O281" s="487"/>
      <c r="P281" s="487"/>
      <c r="Q281" s="237"/>
      <c r="R281" s="237"/>
      <c r="S281" s="237"/>
      <c r="T281" s="237"/>
      <c r="U281" s="102"/>
      <c r="V281" s="102"/>
      <c r="W281" s="102"/>
      <c r="X281" s="102"/>
      <c r="Y281" s="102"/>
    </row>
    <row r="282" spans="1:25" x14ac:dyDescent="0.2">
      <c r="A282" s="225">
        <v>214</v>
      </c>
      <c r="B282" s="37"/>
      <c r="C282" s="86" t="s">
        <v>283</v>
      </c>
      <c r="D282" s="10"/>
      <c r="E282" s="19"/>
      <c r="F282" s="159"/>
      <c r="G282" s="303"/>
      <c r="H282" s="268"/>
      <c r="I282" s="487"/>
      <c r="J282" s="487"/>
      <c r="K282" s="487"/>
      <c r="L282" s="491"/>
      <c r="M282" s="487"/>
      <c r="N282" s="487"/>
      <c r="O282" s="487"/>
      <c r="P282" s="487"/>
      <c r="Q282" s="237"/>
      <c r="R282" s="237"/>
      <c r="S282" s="237"/>
      <c r="T282" s="237"/>
      <c r="U282" s="102"/>
      <c r="V282" s="102"/>
      <c r="W282" s="102"/>
      <c r="X282" s="102"/>
      <c r="Y282" s="102"/>
    </row>
    <row r="283" spans="1:25" x14ac:dyDescent="0.2">
      <c r="A283" s="225">
        <v>215</v>
      </c>
      <c r="B283" s="37"/>
      <c r="C283" s="86"/>
      <c r="D283" s="10"/>
      <c r="E283" s="19"/>
      <c r="F283" s="159"/>
      <c r="G283" s="303"/>
      <c r="H283" s="268"/>
      <c r="I283" s="487"/>
      <c r="J283" s="487"/>
      <c r="K283" s="487"/>
      <c r="L283" s="491"/>
      <c r="M283" s="487"/>
      <c r="N283" s="487"/>
      <c r="O283" s="487"/>
      <c r="P283" s="487"/>
      <c r="Q283" s="237"/>
      <c r="R283" s="237"/>
      <c r="S283" s="237"/>
      <c r="T283" s="237"/>
      <c r="U283" s="102"/>
      <c r="V283" s="102"/>
      <c r="W283" s="102"/>
      <c r="X283" s="102"/>
      <c r="Y283" s="102"/>
    </row>
    <row r="284" spans="1:25" x14ac:dyDescent="0.2">
      <c r="A284" s="225">
        <v>216</v>
      </c>
      <c r="B284" s="37"/>
      <c r="C284" s="10"/>
      <c r="D284" s="10"/>
      <c r="E284" s="19"/>
      <c r="F284" s="159"/>
      <c r="G284" s="303"/>
      <c r="H284" s="268"/>
      <c r="I284" s="487"/>
      <c r="J284" s="487"/>
      <c r="K284" s="487"/>
      <c r="L284" s="491"/>
      <c r="M284" s="487"/>
      <c r="N284" s="487"/>
      <c r="O284" s="487"/>
      <c r="P284" s="487"/>
      <c r="Q284" s="237"/>
      <c r="R284" s="237"/>
      <c r="S284" s="237"/>
      <c r="T284" s="237"/>
      <c r="U284" s="102"/>
      <c r="V284" s="102"/>
      <c r="W284" s="102"/>
      <c r="X284" s="102"/>
      <c r="Y284" s="102"/>
    </row>
    <row r="285" spans="1:25" ht="15" x14ac:dyDescent="0.25">
      <c r="A285" s="226">
        <v>217</v>
      </c>
      <c r="B285" s="88" t="s">
        <v>175</v>
      </c>
      <c r="C285" s="52"/>
      <c r="D285" s="52"/>
      <c r="E285" s="50"/>
      <c r="F285" s="163"/>
      <c r="G285" s="306">
        <f>SUM(G256:G284)</f>
        <v>630294.08645231207</v>
      </c>
      <c r="H285" s="271"/>
      <c r="I285" s="487"/>
      <c r="J285" s="487"/>
      <c r="K285" s="487"/>
      <c r="L285" s="491"/>
      <c r="M285" s="487"/>
      <c r="N285" s="487"/>
      <c r="O285" s="487"/>
      <c r="P285" s="487"/>
      <c r="Q285" s="237"/>
      <c r="R285" s="237"/>
      <c r="S285" s="237"/>
      <c r="T285" s="237"/>
      <c r="U285" s="102"/>
      <c r="V285" s="102"/>
      <c r="W285" s="102"/>
      <c r="X285" s="102"/>
      <c r="Y285" s="102"/>
    </row>
    <row r="286" spans="1:25" x14ac:dyDescent="0.2">
      <c r="A286" s="225"/>
      <c r="B286" s="37"/>
      <c r="C286" s="10"/>
      <c r="D286" s="10"/>
      <c r="E286" s="62"/>
      <c r="F286" s="158"/>
      <c r="G286" s="302"/>
      <c r="H286" s="267"/>
      <c r="I286" s="487"/>
      <c r="J286" s="487"/>
      <c r="K286" s="487"/>
      <c r="L286" s="491"/>
      <c r="M286" s="487"/>
      <c r="N286" s="487"/>
      <c r="O286" s="487"/>
      <c r="P286" s="487"/>
      <c r="Q286" s="237"/>
      <c r="R286" s="237"/>
      <c r="S286" s="237"/>
      <c r="T286" s="237"/>
      <c r="U286" s="102"/>
      <c r="V286" s="102"/>
      <c r="W286" s="102"/>
      <c r="X286" s="102"/>
      <c r="Y286" s="102"/>
    </row>
    <row r="287" spans="1:25" s="5" customFormat="1" ht="15" x14ac:dyDescent="0.25">
      <c r="A287" s="225"/>
      <c r="B287" s="89" t="s">
        <v>29</v>
      </c>
      <c r="C287" s="54"/>
      <c r="D287" s="54"/>
      <c r="E287" s="78"/>
      <c r="F287" s="170"/>
      <c r="G287" s="318"/>
      <c r="H287" s="286"/>
      <c r="I287" s="489"/>
      <c r="J287" s="489"/>
      <c r="K287" s="489"/>
      <c r="L287" s="491"/>
      <c r="M287" s="489"/>
      <c r="N287" s="489"/>
      <c r="O287" s="489"/>
      <c r="P287" s="489"/>
      <c r="Q287" s="244"/>
      <c r="R287" s="244"/>
      <c r="S287" s="244"/>
      <c r="T287" s="244"/>
      <c r="U287" s="240"/>
      <c r="V287" s="240"/>
      <c r="W287" s="240"/>
      <c r="X287" s="240"/>
      <c r="Y287" s="240"/>
    </row>
    <row r="288" spans="1:25" x14ac:dyDescent="0.2">
      <c r="A288" s="225">
        <v>218</v>
      </c>
      <c r="B288" s="37"/>
      <c r="C288" s="10" t="s">
        <v>83</v>
      </c>
      <c r="D288" s="10"/>
      <c r="E288" s="19" t="s">
        <v>246</v>
      </c>
      <c r="F288" s="159" t="s">
        <v>247</v>
      </c>
      <c r="G288" s="303"/>
      <c r="H288" s="268"/>
      <c r="I288" s="487"/>
      <c r="J288" s="487"/>
      <c r="K288" s="487"/>
      <c r="L288" s="491"/>
      <c r="M288" s="487"/>
      <c r="N288" s="487"/>
      <c r="O288" s="487"/>
      <c r="P288" s="487"/>
      <c r="Q288" s="237"/>
      <c r="R288" s="237"/>
      <c r="S288" s="237"/>
      <c r="T288" s="237"/>
      <c r="U288" s="102"/>
      <c r="V288" s="102"/>
      <c r="W288" s="102"/>
      <c r="X288" s="102"/>
      <c r="Y288" s="102"/>
    </row>
    <row r="289" spans="1:25" x14ac:dyDescent="0.2">
      <c r="A289" s="225"/>
      <c r="B289" s="37"/>
      <c r="C289" s="10" t="s">
        <v>176</v>
      </c>
      <c r="D289" s="10"/>
      <c r="E289" s="62"/>
      <c r="F289" s="158"/>
      <c r="G289" s="302"/>
      <c r="H289" s="267"/>
      <c r="I289" s="487"/>
      <c r="J289" s="487"/>
      <c r="K289" s="487"/>
      <c r="L289" s="491"/>
      <c r="M289" s="487"/>
      <c r="N289" s="487"/>
      <c r="O289" s="487"/>
      <c r="P289" s="487"/>
      <c r="Q289" s="237"/>
      <c r="R289" s="237"/>
      <c r="S289" s="237"/>
      <c r="T289" s="237"/>
      <c r="U289" s="102"/>
      <c r="V289" s="102"/>
      <c r="W289" s="102"/>
      <c r="X289" s="102"/>
      <c r="Y289" s="102"/>
    </row>
    <row r="290" spans="1:25" x14ac:dyDescent="0.2">
      <c r="A290" s="225">
        <v>219</v>
      </c>
      <c r="B290" s="37"/>
      <c r="C290" s="10" t="s">
        <v>33</v>
      </c>
      <c r="D290" s="10" t="s">
        <v>299</v>
      </c>
      <c r="E290" s="19" t="s">
        <v>222</v>
      </c>
      <c r="F290" s="159" t="s">
        <v>247</v>
      </c>
      <c r="G290" s="303">
        <v>0</v>
      </c>
      <c r="H290" s="268"/>
      <c r="I290" s="487"/>
      <c r="J290" s="487"/>
      <c r="K290" s="487"/>
      <c r="L290" s="491"/>
      <c r="M290" s="487"/>
      <c r="N290" s="487"/>
      <c r="O290" s="487"/>
      <c r="P290" s="487"/>
      <c r="Q290" s="237"/>
      <c r="R290" s="237"/>
      <c r="S290" s="237"/>
      <c r="T290" s="237"/>
      <c r="U290" s="102"/>
      <c r="V290" s="102"/>
      <c r="W290" s="102"/>
      <c r="X290" s="102"/>
      <c r="Y290" s="102"/>
    </row>
    <row r="291" spans="1:25" x14ac:dyDescent="0.2">
      <c r="A291" s="225">
        <v>220</v>
      </c>
      <c r="B291" s="37"/>
      <c r="C291" s="10"/>
      <c r="D291" s="10" t="s">
        <v>85</v>
      </c>
      <c r="E291" s="19" t="s">
        <v>86</v>
      </c>
      <c r="F291" s="159" t="s">
        <v>177</v>
      </c>
      <c r="G291" s="303">
        <v>0</v>
      </c>
      <c r="H291" s="268"/>
      <c r="I291" s="487"/>
      <c r="J291" s="487"/>
      <c r="K291" s="487"/>
      <c r="L291" s="491"/>
      <c r="M291" s="487"/>
      <c r="N291" s="499"/>
      <c r="O291" s="487"/>
      <c r="P291" s="487"/>
      <c r="Q291" s="237"/>
      <c r="R291" s="237"/>
      <c r="S291" s="237"/>
      <c r="T291" s="237"/>
      <c r="U291" s="102"/>
      <c r="V291" s="102"/>
      <c r="W291" s="102"/>
      <c r="X291" s="102"/>
      <c r="Y291" s="102"/>
    </row>
    <row r="292" spans="1:25" x14ac:dyDescent="0.2">
      <c r="A292" s="225">
        <v>221</v>
      </c>
      <c r="B292" s="37"/>
      <c r="C292" s="10"/>
      <c r="D292" s="10" t="s">
        <v>178</v>
      </c>
      <c r="E292" s="19" t="s">
        <v>179</v>
      </c>
      <c r="F292" s="159" t="s">
        <v>177</v>
      </c>
      <c r="G292" s="303">
        <v>716315.4</v>
      </c>
      <c r="H292" s="268" t="s">
        <v>429</v>
      </c>
      <c r="I292" s="487"/>
      <c r="J292" s="491"/>
      <c r="K292" s="487"/>
      <c r="L292" s="491"/>
      <c r="M292" s="487"/>
      <c r="N292" s="491"/>
      <c r="O292" s="487"/>
      <c r="P292" s="487"/>
      <c r="Q292" s="237"/>
      <c r="R292" s="237"/>
      <c r="S292" s="237"/>
      <c r="T292" s="237"/>
      <c r="U292" s="102"/>
      <c r="V292" s="102"/>
      <c r="W292" s="102"/>
      <c r="X292" s="102"/>
      <c r="Y292" s="102"/>
    </row>
    <row r="293" spans="1:25" x14ac:dyDescent="0.2">
      <c r="A293" s="225">
        <v>222</v>
      </c>
      <c r="B293" s="37"/>
      <c r="C293" s="10"/>
      <c r="D293" s="10" t="s">
        <v>113</v>
      </c>
      <c r="E293" s="19" t="s">
        <v>114</v>
      </c>
      <c r="F293" s="159" t="s">
        <v>177</v>
      </c>
      <c r="G293" s="303">
        <v>0</v>
      </c>
      <c r="H293" s="268"/>
      <c r="I293" s="487"/>
      <c r="J293" s="487"/>
      <c r="K293" s="487"/>
      <c r="L293" s="491"/>
      <c r="M293" s="487"/>
      <c r="N293" s="491"/>
      <c r="O293" s="487"/>
      <c r="P293" s="487"/>
      <c r="Q293" s="237"/>
      <c r="R293" s="237"/>
      <c r="S293" s="237"/>
      <c r="T293" s="237"/>
      <c r="U293" s="102"/>
      <c r="V293" s="102"/>
      <c r="W293" s="102"/>
      <c r="X293" s="102"/>
      <c r="Y293" s="102"/>
    </row>
    <row r="294" spans="1:25" x14ac:dyDescent="0.2">
      <c r="A294" s="225">
        <v>223</v>
      </c>
      <c r="B294" s="37"/>
      <c r="C294" s="10"/>
      <c r="D294" s="10" t="s">
        <v>110</v>
      </c>
      <c r="E294" s="19" t="s">
        <v>90</v>
      </c>
      <c r="F294" s="159" t="s">
        <v>177</v>
      </c>
      <c r="G294" s="303">
        <v>0</v>
      </c>
      <c r="H294" s="268"/>
      <c r="I294" s="487"/>
      <c r="J294" s="487"/>
      <c r="K294" s="487"/>
      <c r="L294" s="491"/>
      <c r="O294" s="487"/>
      <c r="P294" s="487"/>
      <c r="Q294" s="237"/>
      <c r="R294" s="237"/>
      <c r="S294" s="237"/>
      <c r="T294" s="237"/>
      <c r="U294" s="102"/>
      <c r="V294" s="102"/>
      <c r="W294" s="102"/>
      <c r="X294" s="102"/>
      <c r="Y294" s="102"/>
    </row>
    <row r="295" spans="1:25" x14ac:dyDescent="0.2">
      <c r="A295" s="225">
        <v>224</v>
      </c>
      <c r="B295" s="37"/>
      <c r="C295" s="10"/>
      <c r="D295" s="10" t="s">
        <v>180</v>
      </c>
      <c r="E295" s="19" t="s">
        <v>115</v>
      </c>
      <c r="F295" s="159" t="s">
        <v>177</v>
      </c>
      <c r="G295" s="303">
        <v>0</v>
      </c>
      <c r="H295" s="268"/>
      <c r="I295" s="487"/>
      <c r="J295" s="487"/>
      <c r="K295" s="487"/>
      <c r="L295" s="491"/>
      <c r="M295" s="487"/>
      <c r="N295" s="491"/>
      <c r="O295" s="487"/>
      <c r="P295" s="487"/>
      <c r="Q295" s="237"/>
      <c r="R295" s="237"/>
      <c r="S295" s="237"/>
      <c r="T295" s="237"/>
      <c r="U295" s="102"/>
      <c r="V295" s="102"/>
      <c r="W295" s="102"/>
      <c r="X295" s="102"/>
      <c r="Y295" s="102"/>
    </row>
    <row r="296" spans="1:25" x14ac:dyDescent="0.2">
      <c r="A296" s="225">
        <v>225</v>
      </c>
      <c r="B296" s="37"/>
      <c r="C296" s="10"/>
      <c r="D296" s="10" t="s">
        <v>93</v>
      </c>
      <c r="E296" s="19" t="s">
        <v>94</v>
      </c>
      <c r="F296" s="159" t="s">
        <v>177</v>
      </c>
      <c r="G296" s="303">
        <v>0</v>
      </c>
      <c r="H296" s="268"/>
      <c r="I296" s="487"/>
      <c r="J296" s="487"/>
      <c r="K296" s="487"/>
      <c r="L296" s="491"/>
      <c r="M296" s="487"/>
      <c r="N296" s="491"/>
      <c r="O296" s="487"/>
      <c r="P296" s="487"/>
      <c r="Q296" s="237"/>
      <c r="R296" s="237"/>
      <c r="S296" s="237"/>
      <c r="T296" s="237"/>
      <c r="U296" s="102"/>
      <c r="V296" s="102"/>
      <c r="W296" s="102"/>
      <c r="X296" s="102"/>
      <c r="Y296" s="102"/>
    </row>
    <row r="297" spans="1:25" x14ac:dyDescent="0.2">
      <c r="A297" s="225">
        <v>226</v>
      </c>
      <c r="B297" s="37"/>
      <c r="C297" s="10"/>
      <c r="D297" s="10" t="s">
        <v>95</v>
      </c>
      <c r="E297" s="19" t="s">
        <v>96</v>
      </c>
      <c r="F297" s="159" t="s">
        <v>177</v>
      </c>
      <c r="G297" s="303">
        <v>0</v>
      </c>
      <c r="H297" s="268"/>
      <c r="I297" s="487"/>
      <c r="J297" s="487"/>
      <c r="K297" s="487"/>
      <c r="L297" s="491"/>
      <c r="M297" s="487"/>
      <c r="N297" s="491"/>
      <c r="O297" s="487"/>
      <c r="P297" s="487"/>
      <c r="Q297" s="237"/>
      <c r="R297" s="237"/>
      <c r="S297" s="237"/>
      <c r="T297" s="237"/>
      <c r="U297" s="102"/>
      <c r="V297" s="102"/>
      <c r="W297" s="102"/>
      <c r="X297" s="102"/>
      <c r="Y297" s="102"/>
    </row>
    <row r="298" spans="1:25" x14ac:dyDescent="0.2">
      <c r="A298" s="225">
        <v>227</v>
      </c>
      <c r="B298" s="37"/>
      <c r="C298" s="10"/>
      <c r="D298" s="10" t="s">
        <v>295</v>
      </c>
      <c r="E298" s="19" t="s">
        <v>97</v>
      </c>
      <c r="F298" s="159" t="s">
        <v>247</v>
      </c>
      <c r="G298" s="303">
        <v>0</v>
      </c>
      <c r="H298" s="268"/>
      <c r="I298" s="487"/>
      <c r="J298" s="487"/>
      <c r="K298" s="487"/>
      <c r="L298" s="491"/>
      <c r="O298" s="487"/>
      <c r="P298" s="487"/>
      <c r="Q298" s="237"/>
      <c r="R298" s="237"/>
      <c r="S298" s="237"/>
      <c r="T298" s="237"/>
      <c r="U298" s="102"/>
      <c r="V298" s="102"/>
      <c r="W298" s="102"/>
      <c r="X298" s="102"/>
      <c r="Y298" s="102"/>
    </row>
    <row r="299" spans="1:25" x14ac:dyDescent="0.2">
      <c r="A299" s="225">
        <v>228</v>
      </c>
      <c r="B299" s="37"/>
      <c r="C299" s="10"/>
      <c r="D299" s="10" t="s">
        <v>98</v>
      </c>
      <c r="E299" s="19" t="s">
        <v>99</v>
      </c>
      <c r="F299" s="159" t="s">
        <v>247</v>
      </c>
      <c r="G299" s="303">
        <v>0</v>
      </c>
      <c r="H299" s="268"/>
      <c r="I299" s="487"/>
      <c r="J299" s="487"/>
      <c r="K299" s="487"/>
      <c r="L299" s="491"/>
      <c r="O299" s="487"/>
      <c r="P299" s="487"/>
      <c r="Q299" s="237"/>
      <c r="R299" s="237"/>
      <c r="S299" s="237"/>
      <c r="T299" s="237"/>
      <c r="U299" s="102"/>
      <c r="V299" s="102"/>
      <c r="W299" s="102"/>
      <c r="X299" s="102"/>
      <c r="Y299" s="102"/>
    </row>
    <row r="300" spans="1:25" x14ac:dyDescent="0.2">
      <c r="A300" s="225">
        <v>229</v>
      </c>
      <c r="B300" s="37"/>
      <c r="C300" s="10"/>
      <c r="D300" s="10" t="s">
        <v>100</v>
      </c>
      <c r="E300" s="19" t="s">
        <v>101</v>
      </c>
      <c r="F300" s="159" t="s">
        <v>247</v>
      </c>
      <c r="G300" s="303">
        <v>0</v>
      </c>
      <c r="H300" s="268"/>
      <c r="I300" s="487"/>
      <c r="J300" s="487"/>
      <c r="K300" s="487"/>
      <c r="L300" s="491"/>
      <c r="M300" s="487"/>
      <c r="N300" s="491"/>
      <c r="O300" s="487"/>
      <c r="P300" s="487"/>
      <c r="Q300" s="237"/>
      <c r="R300" s="237"/>
      <c r="S300" s="237"/>
      <c r="T300" s="237"/>
      <c r="U300" s="102"/>
      <c r="V300" s="102"/>
      <c r="W300" s="102"/>
      <c r="X300" s="102"/>
      <c r="Y300" s="102"/>
    </row>
    <row r="301" spans="1:25" x14ac:dyDescent="0.2">
      <c r="A301" s="225">
        <v>230</v>
      </c>
      <c r="B301" s="37"/>
      <c r="C301" s="10"/>
      <c r="D301" s="10" t="s">
        <v>219</v>
      </c>
      <c r="E301" s="19" t="s">
        <v>220</v>
      </c>
      <c r="F301" s="159" t="s">
        <v>247</v>
      </c>
      <c r="G301" s="303">
        <v>0</v>
      </c>
      <c r="H301" s="268"/>
      <c r="I301" s="487"/>
      <c r="J301" s="487"/>
      <c r="K301" s="487"/>
      <c r="L301" s="491"/>
      <c r="O301" s="487"/>
      <c r="P301" s="487"/>
      <c r="Q301" s="237"/>
      <c r="R301" s="237"/>
      <c r="S301" s="237"/>
      <c r="T301" s="237"/>
      <c r="U301" s="102"/>
      <c r="V301" s="102"/>
      <c r="W301" s="102"/>
      <c r="X301" s="102"/>
      <c r="Y301" s="102"/>
    </row>
    <row r="302" spans="1:25" x14ac:dyDescent="0.2">
      <c r="A302" s="225">
        <v>231</v>
      </c>
      <c r="B302" s="37"/>
      <c r="C302" s="10"/>
      <c r="D302" s="10" t="s">
        <v>102</v>
      </c>
      <c r="E302" s="19" t="s">
        <v>103</v>
      </c>
      <c r="F302" s="159" t="s">
        <v>247</v>
      </c>
      <c r="G302" s="303">
        <v>0</v>
      </c>
      <c r="H302" s="268"/>
      <c r="I302" s="487"/>
      <c r="J302" s="487"/>
      <c r="K302" s="487"/>
      <c r="L302" s="491"/>
      <c r="O302" s="487"/>
      <c r="P302" s="487"/>
      <c r="Q302" s="237"/>
      <c r="R302" s="237"/>
      <c r="S302" s="237"/>
      <c r="T302" s="237"/>
      <c r="U302" s="102"/>
      <c r="V302" s="102"/>
      <c r="W302" s="102"/>
      <c r="X302" s="102"/>
      <c r="Y302" s="102"/>
    </row>
    <row r="303" spans="1:25" x14ac:dyDescent="0.2">
      <c r="A303" s="225">
        <v>232</v>
      </c>
      <c r="B303" s="37"/>
      <c r="C303" s="10"/>
      <c r="D303" s="10" t="s">
        <v>104</v>
      </c>
      <c r="E303" s="19" t="s">
        <v>105</v>
      </c>
      <c r="F303" s="159" t="s">
        <v>247</v>
      </c>
      <c r="G303" s="303">
        <v>0</v>
      </c>
      <c r="H303" s="268"/>
      <c r="I303" s="487"/>
      <c r="J303" s="487"/>
      <c r="K303" s="487"/>
      <c r="L303" s="491"/>
      <c r="M303" s="487"/>
      <c r="N303" s="487"/>
      <c r="O303" s="487"/>
      <c r="P303" s="487"/>
      <c r="Q303" s="237"/>
      <c r="R303" s="237"/>
      <c r="S303" s="237"/>
      <c r="T303" s="237"/>
      <c r="U303" s="102"/>
      <c r="V303" s="102"/>
      <c r="W303" s="102"/>
      <c r="X303" s="102"/>
      <c r="Y303" s="102"/>
    </row>
    <row r="304" spans="1:25" x14ac:dyDescent="0.2">
      <c r="A304" s="225">
        <v>233</v>
      </c>
      <c r="B304" s="37"/>
      <c r="C304" s="86" t="s">
        <v>283</v>
      </c>
      <c r="D304" s="10"/>
      <c r="E304" s="19"/>
      <c r="F304" s="159"/>
      <c r="G304" s="303"/>
      <c r="H304" s="268"/>
      <c r="I304" s="487"/>
      <c r="J304" s="487"/>
      <c r="K304" s="487"/>
      <c r="L304" s="491"/>
      <c r="M304" s="487"/>
      <c r="N304" s="487"/>
      <c r="O304" s="487"/>
      <c r="P304" s="487"/>
      <c r="Q304" s="237"/>
      <c r="R304" s="237"/>
      <c r="S304" s="237"/>
      <c r="T304" s="237"/>
      <c r="U304" s="102"/>
      <c r="V304" s="102"/>
      <c r="W304" s="102"/>
      <c r="X304" s="102"/>
      <c r="Y304" s="102"/>
    </row>
    <row r="305" spans="1:25" x14ac:dyDescent="0.2">
      <c r="A305" s="225">
        <v>234</v>
      </c>
      <c r="B305" s="37"/>
      <c r="C305" s="86"/>
      <c r="D305" s="10"/>
      <c r="E305" s="19"/>
      <c r="F305" s="159"/>
      <c r="G305" s="303"/>
      <c r="H305" s="268"/>
      <c r="I305" s="487"/>
      <c r="J305" s="487"/>
      <c r="K305" s="487"/>
      <c r="L305" s="491"/>
      <c r="M305" s="487"/>
      <c r="N305" s="487"/>
      <c r="O305" s="487"/>
      <c r="P305" s="487"/>
      <c r="Q305" s="237"/>
      <c r="R305" s="237"/>
      <c r="S305" s="237"/>
      <c r="T305" s="237"/>
      <c r="U305" s="102"/>
      <c r="V305" s="102"/>
      <c r="W305" s="102"/>
      <c r="X305" s="102"/>
      <c r="Y305" s="102"/>
    </row>
    <row r="306" spans="1:25" x14ac:dyDescent="0.2">
      <c r="A306" s="225">
        <v>235</v>
      </c>
      <c r="B306" s="84"/>
      <c r="D306" s="14"/>
      <c r="E306" s="15"/>
      <c r="F306" s="167"/>
      <c r="G306" s="315"/>
      <c r="H306" s="283"/>
      <c r="I306" s="487"/>
      <c r="J306" s="487"/>
      <c r="K306" s="487"/>
      <c r="L306" s="491"/>
      <c r="M306" s="487"/>
      <c r="N306" s="487"/>
      <c r="O306" s="487"/>
      <c r="P306" s="487"/>
      <c r="Q306" s="237"/>
      <c r="R306" s="237"/>
      <c r="S306" s="237"/>
      <c r="T306" s="237"/>
      <c r="U306" s="102"/>
      <c r="V306" s="102"/>
      <c r="W306" s="102"/>
      <c r="X306" s="102"/>
      <c r="Y306" s="102"/>
    </row>
    <row r="307" spans="1:25" ht="15" x14ac:dyDescent="0.25">
      <c r="A307" s="226">
        <v>236</v>
      </c>
      <c r="B307" s="88" t="s">
        <v>181</v>
      </c>
      <c r="C307" s="52"/>
      <c r="D307" s="52"/>
      <c r="E307" s="50"/>
      <c r="F307" s="163"/>
      <c r="G307" s="306">
        <f>SUM(G288:G306)</f>
        <v>716315.4</v>
      </c>
      <c r="H307" s="271"/>
      <c r="I307" s="487"/>
      <c r="J307" s="487"/>
      <c r="K307" s="487"/>
      <c r="L307" s="491"/>
      <c r="M307" s="487"/>
      <c r="N307" s="487"/>
      <c r="O307" s="487"/>
      <c r="P307" s="487"/>
      <c r="Q307" s="237"/>
      <c r="R307" s="237"/>
      <c r="S307" s="237"/>
      <c r="T307" s="237"/>
      <c r="U307" s="102"/>
      <c r="V307" s="102"/>
      <c r="W307" s="102"/>
      <c r="X307" s="102"/>
      <c r="Y307" s="102"/>
    </row>
    <row r="308" spans="1:25" x14ac:dyDescent="0.2">
      <c r="A308" s="225"/>
      <c r="B308" s="36"/>
      <c r="C308" s="13"/>
      <c r="D308" s="13"/>
      <c r="E308" s="72"/>
      <c r="F308" s="157"/>
      <c r="G308" s="301"/>
      <c r="H308" s="266"/>
      <c r="I308" s="487"/>
      <c r="J308" s="487"/>
      <c r="K308" s="487"/>
      <c r="L308" s="491"/>
      <c r="M308" s="487"/>
      <c r="N308" s="487"/>
      <c r="O308" s="487"/>
      <c r="P308" s="487"/>
      <c r="Q308" s="237"/>
      <c r="R308" s="237"/>
      <c r="S308" s="237"/>
      <c r="T308" s="237"/>
      <c r="U308" s="102"/>
      <c r="V308" s="102"/>
      <c r="W308" s="102"/>
      <c r="X308" s="102"/>
      <c r="Y308" s="102"/>
    </row>
    <row r="309" spans="1:25" s="5" customFormat="1" ht="15" x14ac:dyDescent="0.25">
      <c r="A309" s="225"/>
      <c r="B309" s="89" t="s">
        <v>30</v>
      </c>
      <c r="C309" s="54"/>
      <c r="D309" s="54"/>
      <c r="E309" s="78"/>
      <c r="F309" s="170"/>
      <c r="G309" s="318"/>
      <c r="H309" s="286"/>
      <c r="I309" s="489"/>
      <c r="J309" s="489"/>
      <c r="K309" s="489"/>
      <c r="L309" s="491"/>
      <c r="M309" s="489"/>
      <c r="N309" s="489"/>
      <c r="O309" s="489"/>
      <c r="P309" s="489"/>
      <c r="Q309" s="244"/>
      <c r="R309" s="244"/>
      <c r="S309" s="244"/>
      <c r="T309" s="244"/>
      <c r="U309" s="240"/>
      <c r="V309" s="240"/>
      <c r="W309" s="240"/>
      <c r="X309" s="240"/>
      <c r="Y309" s="240"/>
    </row>
    <row r="310" spans="1:25" ht="15" x14ac:dyDescent="0.25">
      <c r="A310" s="225"/>
      <c r="B310" s="37"/>
      <c r="C310" s="107" t="s">
        <v>9</v>
      </c>
      <c r="D310" s="10"/>
      <c r="E310" s="78"/>
      <c r="F310" s="170"/>
      <c r="G310" s="318"/>
      <c r="H310" s="286"/>
      <c r="I310" s="487"/>
      <c r="J310" s="487"/>
      <c r="K310" s="487"/>
      <c r="L310" s="491"/>
      <c r="M310" s="487"/>
      <c r="N310" s="487"/>
      <c r="O310" s="487"/>
      <c r="P310" s="487"/>
      <c r="Q310" s="237"/>
      <c r="R310" s="237"/>
      <c r="S310" s="237"/>
      <c r="T310" s="237"/>
      <c r="U310" s="102"/>
      <c r="V310" s="102"/>
      <c r="W310" s="102"/>
      <c r="X310" s="102"/>
      <c r="Y310" s="102"/>
    </row>
    <row r="311" spans="1:25" x14ac:dyDescent="0.2">
      <c r="A311" s="225">
        <v>237</v>
      </c>
      <c r="B311" s="37"/>
      <c r="C311" s="10"/>
      <c r="D311" s="10" t="s">
        <v>83</v>
      </c>
      <c r="E311" s="19" t="s">
        <v>84</v>
      </c>
      <c r="F311" s="159" t="s">
        <v>226</v>
      </c>
      <c r="G311" s="303">
        <v>14326.307999999999</v>
      </c>
      <c r="H311" s="268" t="s">
        <v>426</v>
      </c>
      <c r="I311" s="487"/>
      <c r="J311" s="491"/>
      <c r="K311" s="487"/>
      <c r="L311" s="491"/>
      <c r="M311" s="487"/>
      <c r="N311" s="487"/>
      <c r="O311" s="487"/>
      <c r="P311" s="487"/>
      <c r="Q311" s="237"/>
      <c r="R311" s="237"/>
      <c r="S311" s="237"/>
      <c r="T311" s="237"/>
      <c r="U311" s="102"/>
      <c r="V311" s="102"/>
      <c r="W311" s="102"/>
      <c r="X311" s="102"/>
      <c r="Y311" s="102"/>
    </row>
    <row r="312" spans="1:25" x14ac:dyDescent="0.2">
      <c r="A312" s="225">
        <v>238</v>
      </c>
      <c r="B312" s="37"/>
      <c r="C312" s="10"/>
      <c r="D312" s="10" t="s">
        <v>184</v>
      </c>
      <c r="E312" s="19" t="s">
        <v>185</v>
      </c>
      <c r="F312" s="159">
        <v>2830</v>
      </c>
      <c r="G312" s="303">
        <v>1910.1744000000003</v>
      </c>
      <c r="H312" s="268"/>
      <c r="I312" s="487"/>
      <c r="J312" s="491"/>
      <c r="K312" s="487"/>
      <c r="L312" s="491"/>
      <c r="M312" s="487"/>
      <c r="N312" s="487"/>
      <c r="O312" s="487"/>
      <c r="P312" s="487"/>
      <c r="Q312" s="237"/>
      <c r="R312" s="237"/>
      <c r="S312" s="237"/>
      <c r="T312" s="237"/>
      <c r="U312" s="102"/>
      <c r="V312" s="102"/>
      <c r="W312" s="102"/>
      <c r="X312" s="102"/>
      <c r="Y312" s="102"/>
    </row>
    <row r="313" spans="1:25" x14ac:dyDescent="0.2">
      <c r="A313" s="225">
        <v>239</v>
      </c>
      <c r="B313" s="37"/>
      <c r="C313" s="10"/>
      <c r="D313" s="10" t="s">
        <v>131</v>
      </c>
      <c r="E313" s="19" t="s">
        <v>132</v>
      </c>
      <c r="F313" s="159" t="s">
        <v>183</v>
      </c>
      <c r="G313" s="303"/>
      <c r="H313" s="268"/>
      <c r="I313" s="487"/>
      <c r="J313" s="487"/>
      <c r="K313" s="487"/>
      <c r="L313" s="491"/>
      <c r="M313" s="487"/>
      <c r="N313" s="487"/>
      <c r="O313" s="487"/>
      <c r="P313" s="487"/>
      <c r="Q313" s="237"/>
      <c r="R313" s="237"/>
      <c r="S313" s="237"/>
      <c r="T313" s="237"/>
      <c r="U313" s="102"/>
      <c r="V313" s="102"/>
      <c r="W313" s="102"/>
      <c r="X313" s="102"/>
      <c r="Y313" s="102"/>
    </row>
    <row r="314" spans="1:25" x14ac:dyDescent="0.2">
      <c r="A314" s="225">
        <v>240</v>
      </c>
      <c r="B314" s="37"/>
      <c r="C314" s="10" t="s">
        <v>186</v>
      </c>
      <c r="D314" s="10"/>
      <c r="E314" s="105" t="s">
        <v>221</v>
      </c>
      <c r="F314" s="173" t="s">
        <v>226</v>
      </c>
      <c r="G314" s="321"/>
      <c r="H314" s="290"/>
      <c r="I314" s="487"/>
      <c r="J314" s="487"/>
      <c r="K314" s="487"/>
      <c r="L314" s="491"/>
      <c r="M314" s="487"/>
      <c r="N314" s="487"/>
      <c r="O314" s="487"/>
      <c r="P314" s="487"/>
      <c r="Q314" s="237"/>
      <c r="R314" s="237"/>
      <c r="S314" s="237"/>
      <c r="T314" s="237"/>
      <c r="U314" s="102"/>
      <c r="V314" s="102"/>
      <c r="W314" s="102"/>
      <c r="X314" s="102"/>
      <c r="Y314" s="102"/>
    </row>
    <row r="315" spans="1:25" x14ac:dyDescent="0.2">
      <c r="A315" s="225">
        <v>241</v>
      </c>
      <c r="B315" s="37"/>
      <c r="C315" s="10" t="s">
        <v>295</v>
      </c>
      <c r="D315" s="10"/>
      <c r="E315" s="19" t="s">
        <v>97</v>
      </c>
      <c r="F315" s="159" t="s">
        <v>226</v>
      </c>
      <c r="G315" s="303"/>
      <c r="H315" s="268"/>
      <c r="I315" s="487"/>
      <c r="J315" s="487"/>
      <c r="K315" s="487"/>
      <c r="L315" s="491"/>
      <c r="M315" s="487"/>
      <c r="N315" s="487"/>
      <c r="O315" s="487"/>
      <c r="P315" s="487"/>
      <c r="Q315" s="237"/>
      <c r="R315" s="237"/>
      <c r="S315" s="237"/>
      <c r="T315" s="237"/>
      <c r="U315" s="102"/>
      <c r="V315" s="102"/>
      <c r="W315" s="102"/>
      <c r="X315" s="102"/>
      <c r="Y315" s="102"/>
    </row>
    <row r="316" spans="1:25" x14ac:dyDescent="0.2">
      <c r="A316" s="225">
        <v>242</v>
      </c>
      <c r="B316" s="37"/>
      <c r="C316" s="10" t="s">
        <v>98</v>
      </c>
      <c r="D316" s="10"/>
      <c r="E316" s="19" t="s">
        <v>99</v>
      </c>
      <c r="F316" s="159" t="s">
        <v>226</v>
      </c>
      <c r="G316" s="303"/>
      <c r="H316" s="268"/>
      <c r="I316" s="487"/>
      <c r="J316" s="487"/>
      <c r="K316" s="487"/>
      <c r="L316" s="491"/>
      <c r="M316" s="487"/>
      <c r="N316" s="487"/>
      <c r="O316" s="487"/>
      <c r="P316" s="487"/>
      <c r="Q316" s="237"/>
      <c r="R316" s="237"/>
      <c r="S316" s="237"/>
      <c r="T316" s="237"/>
      <c r="U316" s="102"/>
      <c r="V316" s="102"/>
      <c r="W316" s="102"/>
      <c r="X316" s="102"/>
      <c r="Y316" s="102"/>
    </row>
    <row r="317" spans="1:25" x14ac:dyDescent="0.2">
      <c r="A317" s="225">
        <v>243</v>
      </c>
      <c r="B317" s="37"/>
      <c r="C317" s="10" t="s">
        <v>100</v>
      </c>
      <c r="D317" s="10"/>
      <c r="E317" s="19" t="s">
        <v>101</v>
      </c>
      <c r="F317" s="159" t="s">
        <v>226</v>
      </c>
      <c r="G317" s="303"/>
      <c r="H317" s="268"/>
      <c r="I317" s="487"/>
      <c r="J317" s="487"/>
      <c r="K317" s="487"/>
      <c r="L317" s="491"/>
      <c r="M317" s="487"/>
      <c r="N317" s="487"/>
      <c r="O317" s="487"/>
      <c r="P317" s="487"/>
      <c r="Q317" s="237"/>
      <c r="R317" s="237"/>
      <c r="S317" s="237"/>
      <c r="T317" s="237"/>
      <c r="U317" s="102"/>
      <c r="V317" s="102"/>
      <c r="W317" s="102"/>
      <c r="X317" s="102"/>
      <c r="Y317" s="102"/>
    </row>
    <row r="318" spans="1:25" x14ac:dyDescent="0.2">
      <c r="A318" s="225">
        <v>244</v>
      </c>
      <c r="B318" s="37"/>
      <c r="C318" s="10" t="s">
        <v>219</v>
      </c>
      <c r="D318" s="10"/>
      <c r="E318" s="19" t="s">
        <v>220</v>
      </c>
      <c r="F318" s="159" t="s">
        <v>226</v>
      </c>
      <c r="G318" s="303"/>
      <c r="H318" s="268"/>
      <c r="I318" s="487"/>
      <c r="J318" s="487"/>
      <c r="K318" s="487"/>
      <c r="L318" s="491"/>
      <c r="M318" s="487"/>
      <c r="N318" s="487"/>
      <c r="O318" s="487"/>
      <c r="P318" s="487"/>
      <c r="Q318" s="237"/>
      <c r="R318" s="237"/>
      <c r="S318" s="237"/>
      <c r="T318" s="237"/>
      <c r="U318" s="102"/>
      <c r="V318" s="102"/>
      <c r="W318" s="102"/>
      <c r="X318" s="102"/>
      <c r="Y318" s="102"/>
    </row>
    <row r="319" spans="1:25" x14ac:dyDescent="0.2">
      <c r="A319" s="225">
        <v>245</v>
      </c>
      <c r="B319" s="37"/>
      <c r="C319" s="10" t="s">
        <v>102</v>
      </c>
      <c r="D319" s="10"/>
      <c r="E319" s="19" t="s">
        <v>103</v>
      </c>
      <c r="F319" s="159" t="s">
        <v>226</v>
      </c>
      <c r="G319" s="303"/>
      <c r="H319" s="268"/>
      <c r="I319" s="487"/>
      <c r="J319" s="487"/>
      <c r="K319" s="487"/>
      <c r="L319" s="491"/>
      <c r="M319" s="487"/>
      <c r="N319" s="487"/>
      <c r="O319" s="487"/>
      <c r="P319" s="487"/>
      <c r="Q319" s="237"/>
      <c r="R319" s="237"/>
      <c r="S319" s="237"/>
      <c r="T319" s="237"/>
      <c r="U319" s="102"/>
      <c r="V319" s="102"/>
      <c r="W319" s="102"/>
      <c r="X319" s="102"/>
      <c r="Y319" s="102"/>
    </row>
    <row r="320" spans="1:25" x14ac:dyDescent="0.2">
      <c r="A320" s="225">
        <v>246</v>
      </c>
      <c r="B320" s="37"/>
      <c r="C320" s="10" t="s">
        <v>104</v>
      </c>
      <c r="D320" s="10"/>
      <c r="E320" s="19" t="s">
        <v>105</v>
      </c>
      <c r="F320" s="159" t="s">
        <v>226</v>
      </c>
      <c r="G320" s="303"/>
      <c r="H320" s="268"/>
      <c r="I320" s="487"/>
      <c r="J320" s="487"/>
      <c r="K320" s="487"/>
      <c r="L320" s="491"/>
      <c r="M320" s="487"/>
      <c r="N320" s="487"/>
      <c r="O320" s="487"/>
      <c r="P320" s="487"/>
      <c r="Q320" s="237"/>
      <c r="R320" s="237"/>
      <c r="S320" s="237"/>
      <c r="T320" s="237"/>
      <c r="U320" s="102"/>
      <c r="V320" s="102"/>
      <c r="W320" s="102"/>
      <c r="X320" s="102"/>
      <c r="Y320" s="102"/>
    </row>
    <row r="321" spans="1:25" x14ac:dyDescent="0.2">
      <c r="A321" s="225">
        <v>247</v>
      </c>
      <c r="B321" s="37"/>
      <c r="C321" s="86"/>
      <c r="D321" s="10"/>
      <c r="E321" s="19"/>
      <c r="F321" s="159"/>
      <c r="G321" s="303"/>
      <c r="H321" s="268"/>
      <c r="I321" s="487"/>
      <c r="J321" s="487"/>
      <c r="K321" s="487"/>
      <c r="L321" s="491"/>
      <c r="M321" s="487"/>
      <c r="N321" s="487"/>
      <c r="O321" s="487"/>
      <c r="P321" s="487"/>
      <c r="Q321" s="237"/>
      <c r="R321" s="237"/>
      <c r="S321" s="237"/>
      <c r="T321" s="237"/>
      <c r="U321" s="102"/>
      <c r="V321" s="102"/>
      <c r="W321" s="102"/>
      <c r="X321" s="102"/>
      <c r="Y321" s="102"/>
    </row>
    <row r="322" spans="1:25" x14ac:dyDescent="0.2">
      <c r="A322" s="225">
        <v>248</v>
      </c>
      <c r="B322" s="84"/>
      <c r="D322" s="14"/>
      <c r="E322" s="15"/>
      <c r="F322" s="167"/>
      <c r="G322" s="315"/>
      <c r="H322" s="283"/>
      <c r="I322" s="487"/>
      <c r="J322" s="487"/>
      <c r="K322" s="487"/>
      <c r="L322" s="491"/>
      <c r="M322" s="487"/>
      <c r="N322" s="487"/>
      <c r="O322" s="487"/>
      <c r="P322" s="487"/>
      <c r="Q322" s="237"/>
      <c r="R322" s="237"/>
      <c r="S322" s="237"/>
      <c r="T322" s="237"/>
      <c r="U322" s="102"/>
      <c r="V322" s="102"/>
      <c r="W322" s="102"/>
      <c r="X322" s="102"/>
      <c r="Y322" s="102"/>
    </row>
    <row r="323" spans="1:25" ht="15" x14ac:dyDescent="0.25">
      <c r="A323" s="226">
        <v>249</v>
      </c>
      <c r="B323" s="88" t="s">
        <v>188</v>
      </c>
      <c r="C323" s="52"/>
      <c r="D323" s="52"/>
      <c r="E323" s="50"/>
      <c r="F323" s="163"/>
      <c r="G323" s="306">
        <f>SUM(G310:G322)</f>
        <v>16236.482399999999</v>
      </c>
      <c r="H323" s="271"/>
      <c r="I323" s="487"/>
      <c r="J323" s="487"/>
      <c r="K323" s="487"/>
      <c r="L323" s="491"/>
      <c r="M323" s="487"/>
      <c r="N323" s="487"/>
      <c r="O323" s="487"/>
      <c r="P323" s="487"/>
      <c r="Q323" s="237"/>
      <c r="R323" s="237"/>
      <c r="S323" s="237"/>
      <c r="T323" s="237"/>
      <c r="U323" s="102"/>
      <c r="V323" s="102"/>
      <c r="W323" s="102"/>
      <c r="X323" s="102"/>
      <c r="Y323" s="102"/>
    </row>
    <row r="324" spans="1:25" s="14" customFormat="1" ht="15" x14ac:dyDescent="0.25">
      <c r="A324" s="223"/>
      <c r="B324" s="82"/>
      <c r="C324" s="59"/>
      <c r="D324" s="59"/>
      <c r="E324" s="23"/>
      <c r="F324" s="162"/>
      <c r="G324" s="304"/>
      <c r="H324" s="269"/>
      <c r="I324" s="487"/>
      <c r="J324" s="487"/>
      <c r="K324" s="487"/>
      <c r="L324" s="491"/>
      <c r="M324" s="487"/>
      <c r="N324" s="487"/>
      <c r="O324" s="487"/>
      <c r="P324" s="487"/>
      <c r="Q324" s="237"/>
      <c r="R324" s="237"/>
      <c r="S324" s="237"/>
      <c r="T324" s="237"/>
      <c r="U324" s="102"/>
      <c r="V324" s="102"/>
      <c r="W324" s="102"/>
      <c r="X324" s="102"/>
      <c r="Y324" s="102"/>
    </row>
    <row r="325" spans="1:25" s="14" customFormat="1" ht="15.75" thickBot="1" x14ac:dyDescent="0.3">
      <c r="A325" s="222"/>
      <c r="B325" s="35"/>
      <c r="C325" s="21"/>
      <c r="D325" s="21"/>
      <c r="E325" s="15"/>
      <c r="F325" s="167"/>
      <c r="G325" s="315"/>
      <c r="H325" s="283"/>
      <c r="I325" s="487"/>
      <c r="J325" s="487"/>
      <c r="K325" s="487"/>
      <c r="L325" s="491"/>
      <c r="M325" s="487"/>
      <c r="N325" s="487"/>
      <c r="O325" s="487"/>
      <c r="P325" s="487"/>
      <c r="Q325" s="237"/>
      <c r="R325" s="237"/>
      <c r="S325" s="237"/>
      <c r="T325" s="237"/>
      <c r="U325" s="102"/>
      <c r="V325" s="102"/>
      <c r="W325" s="102"/>
      <c r="X325" s="102"/>
      <c r="Y325" s="102"/>
    </row>
    <row r="326" spans="1:25" ht="15.75" thickBot="1" x14ac:dyDescent="0.3">
      <c r="A326" s="328">
        <v>250</v>
      </c>
      <c r="B326" s="76" t="s">
        <v>230</v>
      </c>
      <c r="C326" s="77"/>
      <c r="D326" s="77"/>
      <c r="E326" s="46"/>
      <c r="F326" s="166"/>
      <c r="G326" s="312">
        <f>+G171+G188+G203+G228+G253+G285+G307+G323</f>
        <v>4275491.0592365256</v>
      </c>
      <c r="H326" s="287"/>
      <c r="I326" s="487"/>
      <c r="J326" s="487"/>
      <c r="K326" s="487"/>
      <c r="L326" s="491"/>
      <c r="M326" s="487"/>
      <c r="N326" s="487"/>
      <c r="O326" s="487"/>
      <c r="P326" s="487"/>
      <c r="Q326" s="237"/>
      <c r="R326" s="237"/>
      <c r="S326" s="237"/>
      <c r="T326" s="237"/>
      <c r="U326" s="102"/>
      <c r="V326" s="102"/>
      <c r="W326" s="102"/>
      <c r="X326" s="102"/>
      <c r="Y326" s="102"/>
    </row>
    <row r="327" spans="1:25" ht="15" thickBot="1" x14ac:dyDescent="0.25">
      <c r="A327" s="230"/>
      <c r="B327" s="36"/>
      <c r="C327" s="13"/>
      <c r="D327" s="13"/>
      <c r="E327" s="98"/>
      <c r="F327" s="164"/>
      <c r="G327" s="310"/>
      <c r="H327" s="291"/>
      <c r="I327" s="487"/>
      <c r="J327" s="487"/>
      <c r="K327" s="487"/>
      <c r="L327" s="491"/>
      <c r="M327" s="487"/>
      <c r="N327" s="487"/>
      <c r="O327" s="487"/>
      <c r="P327" s="487"/>
      <c r="Q327" s="237"/>
      <c r="R327" s="237"/>
      <c r="S327" s="237"/>
      <c r="T327" s="237"/>
      <c r="U327" s="102"/>
      <c r="V327" s="102"/>
      <c r="W327" s="102"/>
      <c r="X327" s="102"/>
      <c r="Y327" s="102"/>
    </row>
    <row r="328" spans="1:25" ht="15.75" thickBot="1" x14ac:dyDescent="0.3">
      <c r="A328" s="231"/>
      <c r="B328" s="76" t="s">
        <v>189</v>
      </c>
      <c r="C328" s="77"/>
      <c r="D328" s="77"/>
      <c r="E328" s="122"/>
      <c r="F328" s="174"/>
      <c r="G328" s="322"/>
      <c r="H328" s="292"/>
      <c r="I328" s="487"/>
      <c r="J328" s="487"/>
      <c r="K328" s="487"/>
      <c r="L328" s="491"/>
      <c r="M328" s="487"/>
      <c r="N328" s="487"/>
      <c r="O328" s="487"/>
      <c r="P328" s="487"/>
      <c r="Q328" s="237"/>
      <c r="R328" s="237"/>
      <c r="S328" s="237"/>
      <c r="T328" s="237"/>
      <c r="U328" s="102"/>
      <c r="V328" s="102"/>
      <c r="W328" s="102"/>
      <c r="X328" s="102"/>
      <c r="Y328" s="102"/>
    </row>
    <row r="329" spans="1:25" s="5" customFormat="1" ht="15" x14ac:dyDescent="0.25">
      <c r="A329" s="225"/>
      <c r="B329" s="89" t="s">
        <v>288</v>
      </c>
      <c r="C329" s="54"/>
      <c r="D329" s="54"/>
      <c r="E329" s="78"/>
      <c r="F329" s="170"/>
      <c r="G329" s="318"/>
      <c r="H329" s="286"/>
      <c r="I329" s="489"/>
      <c r="J329" s="489"/>
      <c r="K329" s="489"/>
      <c r="L329" s="491"/>
      <c r="M329" s="489"/>
      <c r="N329" s="489"/>
      <c r="O329" s="489"/>
      <c r="P329" s="489"/>
      <c r="Q329" s="244"/>
      <c r="R329" s="244"/>
      <c r="S329" s="244"/>
      <c r="T329" s="244"/>
      <c r="U329" s="240"/>
      <c r="V329" s="240"/>
      <c r="W329" s="240"/>
      <c r="X329" s="240"/>
      <c r="Y329" s="240"/>
    </row>
    <row r="330" spans="1:25" x14ac:dyDescent="0.2">
      <c r="A330" s="225">
        <v>251</v>
      </c>
      <c r="B330" s="37"/>
      <c r="C330" s="10" t="s">
        <v>190</v>
      </c>
      <c r="D330" s="10"/>
      <c r="E330" s="19" t="s">
        <v>222</v>
      </c>
      <c r="F330" s="159">
        <v>3100</v>
      </c>
      <c r="G330" s="303">
        <v>0</v>
      </c>
      <c r="H330" s="268"/>
      <c r="I330" s="487"/>
      <c r="J330" s="487"/>
      <c r="K330" s="487"/>
      <c r="L330" s="491"/>
      <c r="M330" s="487"/>
      <c r="N330" s="487"/>
      <c r="O330" s="487"/>
      <c r="P330" s="487"/>
      <c r="Q330" s="237"/>
      <c r="R330" s="237"/>
      <c r="S330" s="237"/>
      <c r="T330" s="237"/>
      <c r="U330" s="102"/>
      <c r="V330" s="102"/>
      <c r="W330" s="102"/>
      <c r="X330" s="102"/>
      <c r="Y330" s="102"/>
    </row>
    <row r="331" spans="1:25" x14ac:dyDescent="0.2">
      <c r="A331" s="225">
        <v>252</v>
      </c>
      <c r="B331" s="37"/>
      <c r="C331" s="10" t="s">
        <v>250</v>
      </c>
      <c r="D331" s="10"/>
      <c r="E331" s="19" t="s">
        <v>251</v>
      </c>
      <c r="F331" s="159" t="s">
        <v>191</v>
      </c>
      <c r="G331" s="303"/>
      <c r="H331" s="268"/>
      <c r="I331" s="487"/>
      <c r="J331" s="487"/>
      <c r="K331" s="487"/>
      <c r="L331" s="491"/>
      <c r="M331" s="487"/>
      <c r="N331" s="487"/>
      <c r="O331" s="487"/>
      <c r="P331" s="487"/>
      <c r="Q331" s="237"/>
      <c r="R331" s="237"/>
      <c r="S331" s="237"/>
      <c r="T331" s="237"/>
      <c r="U331" s="102"/>
      <c r="V331" s="102"/>
      <c r="W331" s="102"/>
      <c r="X331" s="102"/>
      <c r="Y331" s="102"/>
    </row>
    <row r="332" spans="1:25" x14ac:dyDescent="0.2">
      <c r="A332" s="225">
        <v>253</v>
      </c>
      <c r="B332" s="37"/>
      <c r="C332" s="10" t="s">
        <v>192</v>
      </c>
      <c r="D332" s="10"/>
      <c r="E332" s="19" t="s">
        <v>193</v>
      </c>
      <c r="F332" s="159" t="s">
        <v>191</v>
      </c>
      <c r="G332" s="303">
        <f>+SUM('KIPP Assumptions'!E$65:E$68)</f>
        <v>336000</v>
      </c>
      <c r="H332" s="268"/>
      <c r="I332" s="487"/>
      <c r="J332" s="487"/>
      <c r="K332" s="487"/>
      <c r="L332" s="491"/>
      <c r="M332" s="487"/>
      <c r="N332" s="487"/>
      <c r="O332" s="487"/>
      <c r="P332" s="487"/>
      <c r="Q332" s="237"/>
      <c r="R332" s="237"/>
      <c r="S332" s="237"/>
      <c r="T332" s="237"/>
      <c r="U332" s="102"/>
      <c r="V332" s="102"/>
      <c r="W332" s="102"/>
      <c r="X332" s="102"/>
      <c r="Y332" s="102"/>
    </row>
    <row r="333" spans="1:25" x14ac:dyDescent="0.2">
      <c r="A333" s="225">
        <v>254</v>
      </c>
      <c r="B333" s="37"/>
      <c r="C333" s="10" t="s">
        <v>227</v>
      </c>
      <c r="D333" s="10"/>
      <c r="E333" s="19" t="s">
        <v>224</v>
      </c>
      <c r="F333" s="159" t="s">
        <v>191</v>
      </c>
      <c r="G333" s="303"/>
      <c r="H333" s="268"/>
      <c r="I333" s="487"/>
      <c r="J333" s="487"/>
      <c r="K333" s="487"/>
      <c r="L333" s="491"/>
      <c r="M333" s="487"/>
      <c r="N333" s="487"/>
      <c r="O333" s="487"/>
      <c r="P333" s="487"/>
      <c r="Q333" s="237"/>
      <c r="R333" s="237"/>
      <c r="S333" s="237"/>
      <c r="T333" s="237"/>
      <c r="U333" s="102"/>
      <c r="V333" s="102"/>
      <c r="W333" s="102"/>
      <c r="X333" s="102"/>
      <c r="Y333" s="102"/>
    </row>
    <row r="334" spans="1:25" x14ac:dyDescent="0.2">
      <c r="A334" s="225">
        <v>255</v>
      </c>
      <c r="B334" s="37"/>
      <c r="C334" s="10" t="s">
        <v>110</v>
      </c>
      <c r="D334" s="10"/>
      <c r="E334" s="19" t="s">
        <v>90</v>
      </c>
      <c r="F334" s="159" t="s">
        <v>191</v>
      </c>
      <c r="G334" s="303"/>
      <c r="H334" s="268"/>
      <c r="I334" s="487"/>
      <c r="J334" s="487"/>
      <c r="K334" s="487"/>
      <c r="L334" s="491"/>
      <c r="M334" s="487"/>
      <c r="N334" s="487"/>
      <c r="O334" s="487"/>
      <c r="P334" s="487"/>
      <c r="Q334" s="237"/>
      <c r="R334" s="237"/>
      <c r="S334" s="237"/>
      <c r="T334" s="237"/>
      <c r="U334" s="102"/>
      <c r="V334" s="102"/>
      <c r="W334" s="102"/>
      <c r="X334" s="102"/>
      <c r="Y334" s="102"/>
    </row>
    <row r="335" spans="1:25" x14ac:dyDescent="0.2">
      <c r="A335" s="225">
        <v>256</v>
      </c>
      <c r="B335" s="37"/>
      <c r="C335" s="10" t="s">
        <v>0</v>
      </c>
      <c r="D335" s="10"/>
      <c r="E335" s="19" t="s">
        <v>194</v>
      </c>
      <c r="F335" s="159" t="s">
        <v>191</v>
      </c>
      <c r="G335" s="303"/>
      <c r="H335" s="268"/>
      <c r="I335" s="487"/>
      <c r="J335" s="487"/>
      <c r="K335" s="487"/>
      <c r="L335" s="491"/>
      <c r="M335" s="487"/>
      <c r="N335" s="487"/>
      <c r="O335" s="487"/>
      <c r="P335" s="487"/>
      <c r="Q335" s="237"/>
      <c r="R335" s="237"/>
      <c r="S335" s="237"/>
      <c r="T335" s="237"/>
      <c r="U335" s="102"/>
      <c r="V335" s="102"/>
      <c r="W335" s="102"/>
      <c r="X335" s="102"/>
      <c r="Y335" s="102"/>
    </row>
    <row r="336" spans="1:25" x14ac:dyDescent="0.2">
      <c r="A336" s="225">
        <v>257</v>
      </c>
      <c r="B336" s="37"/>
      <c r="C336" s="10" t="s">
        <v>187</v>
      </c>
      <c r="D336" s="10"/>
      <c r="E336" s="19" t="s">
        <v>149</v>
      </c>
      <c r="F336" s="159" t="s">
        <v>191</v>
      </c>
      <c r="G336" s="303">
        <v>5624.4023999999999</v>
      </c>
      <c r="H336" s="268" t="s">
        <v>516</v>
      </c>
      <c r="I336" s="487"/>
      <c r="J336" s="491"/>
      <c r="K336" s="487"/>
      <c r="L336" s="491"/>
      <c r="M336" s="487"/>
      <c r="N336" s="487"/>
      <c r="O336" s="487"/>
      <c r="P336" s="487"/>
      <c r="Q336" s="237"/>
      <c r="R336" s="237"/>
      <c r="S336" s="237"/>
      <c r="T336" s="237"/>
      <c r="U336" s="102"/>
      <c r="V336" s="102"/>
      <c r="W336" s="102"/>
      <c r="X336" s="102"/>
      <c r="Y336" s="102"/>
    </row>
    <row r="337" spans="1:25" x14ac:dyDescent="0.2">
      <c r="A337" s="225">
        <v>258</v>
      </c>
      <c r="B337" s="37"/>
      <c r="C337" s="10" t="s">
        <v>228</v>
      </c>
      <c r="D337" s="10"/>
      <c r="E337" s="19" t="s">
        <v>229</v>
      </c>
      <c r="F337" s="159">
        <v>3100</v>
      </c>
      <c r="G337" s="303"/>
      <c r="H337" s="268"/>
      <c r="I337" s="487"/>
      <c r="J337" s="487"/>
      <c r="K337" s="487"/>
      <c r="L337" s="491"/>
      <c r="M337" s="487"/>
      <c r="N337" s="487"/>
      <c r="O337" s="487"/>
      <c r="P337" s="487"/>
      <c r="Q337" s="237"/>
      <c r="R337" s="237"/>
      <c r="S337" s="237"/>
      <c r="T337" s="237"/>
      <c r="U337" s="102"/>
      <c r="V337" s="102"/>
      <c r="W337" s="102"/>
      <c r="X337" s="102"/>
      <c r="Y337" s="102"/>
    </row>
    <row r="338" spans="1:25" x14ac:dyDescent="0.2">
      <c r="A338" s="225">
        <v>259</v>
      </c>
      <c r="B338" s="37"/>
      <c r="C338" s="10" t="s">
        <v>143</v>
      </c>
      <c r="D338" s="10"/>
      <c r="E338" s="19" t="s">
        <v>144</v>
      </c>
      <c r="F338" s="159" t="s">
        <v>191</v>
      </c>
      <c r="G338" s="303"/>
      <c r="H338" s="268"/>
      <c r="I338" s="487"/>
      <c r="J338" s="487"/>
      <c r="K338" s="487"/>
      <c r="L338" s="491"/>
      <c r="M338" s="487"/>
      <c r="N338" s="487"/>
      <c r="O338" s="487"/>
      <c r="P338" s="487"/>
      <c r="Q338" s="237"/>
      <c r="R338" s="237"/>
      <c r="S338" s="237"/>
      <c r="T338" s="237"/>
      <c r="U338" s="102"/>
      <c r="V338" s="102"/>
      <c r="W338" s="102"/>
      <c r="X338" s="102"/>
      <c r="Y338" s="102"/>
    </row>
    <row r="339" spans="1:25" x14ac:dyDescent="0.2">
      <c r="A339" s="225">
        <v>260</v>
      </c>
      <c r="B339" s="37"/>
      <c r="C339" s="10" t="s">
        <v>93</v>
      </c>
      <c r="D339" s="10"/>
      <c r="E339" s="19" t="s">
        <v>94</v>
      </c>
      <c r="F339" s="159" t="s">
        <v>191</v>
      </c>
      <c r="G339" s="303"/>
      <c r="H339" s="268"/>
      <c r="I339" s="487"/>
      <c r="J339" s="487"/>
      <c r="K339" s="487"/>
      <c r="L339" s="491"/>
      <c r="M339" s="487"/>
      <c r="N339" s="487"/>
      <c r="O339" s="487"/>
      <c r="P339" s="487"/>
      <c r="Q339" s="237"/>
      <c r="R339" s="237"/>
      <c r="S339" s="237"/>
      <c r="T339" s="237"/>
      <c r="U339" s="102"/>
      <c r="V339" s="102"/>
      <c r="W339" s="102"/>
      <c r="X339" s="102"/>
      <c r="Y339" s="102"/>
    </row>
    <row r="340" spans="1:25" x14ac:dyDescent="0.2">
      <c r="A340" s="225">
        <v>261</v>
      </c>
      <c r="B340" s="37"/>
      <c r="C340" s="10" t="s">
        <v>295</v>
      </c>
      <c r="D340" s="10"/>
      <c r="E340" s="19" t="s">
        <v>97</v>
      </c>
      <c r="F340" s="159" t="s">
        <v>12</v>
      </c>
      <c r="G340" s="303"/>
      <c r="H340" s="268"/>
      <c r="I340" s="487"/>
      <c r="J340" s="487"/>
      <c r="K340" s="487"/>
      <c r="L340" s="491"/>
      <c r="M340" s="487"/>
      <c r="N340" s="487"/>
      <c r="O340" s="487"/>
      <c r="P340" s="487"/>
      <c r="Q340" s="237"/>
      <c r="R340" s="237"/>
      <c r="S340" s="237"/>
      <c r="T340" s="237"/>
      <c r="U340" s="102"/>
      <c r="V340" s="102"/>
      <c r="W340" s="102"/>
      <c r="X340" s="102"/>
      <c r="Y340" s="102"/>
    </row>
    <row r="341" spans="1:25" x14ac:dyDescent="0.2">
      <c r="A341" s="225">
        <v>262</v>
      </c>
      <c r="B341" s="37"/>
      <c r="C341" s="10" t="s">
        <v>98</v>
      </c>
      <c r="D341" s="10"/>
      <c r="E341" s="19" t="s">
        <v>99</v>
      </c>
      <c r="F341" s="159" t="s">
        <v>12</v>
      </c>
      <c r="G341" s="303"/>
      <c r="H341" s="268"/>
      <c r="I341" s="487"/>
      <c r="J341" s="487"/>
      <c r="K341" s="487"/>
      <c r="L341" s="491"/>
      <c r="M341" s="487"/>
      <c r="N341" s="487"/>
      <c r="O341" s="487"/>
      <c r="P341" s="487"/>
      <c r="Q341" s="237"/>
      <c r="R341" s="237"/>
      <c r="S341" s="237"/>
      <c r="T341" s="237"/>
      <c r="U341" s="102"/>
      <c r="V341" s="102"/>
      <c r="W341" s="102"/>
      <c r="X341" s="102"/>
      <c r="Y341" s="102"/>
    </row>
    <row r="342" spans="1:25" x14ac:dyDescent="0.2">
      <c r="A342" s="225">
        <v>263</v>
      </c>
      <c r="B342" s="37"/>
      <c r="C342" s="10" t="s">
        <v>100</v>
      </c>
      <c r="D342" s="10"/>
      <c r="E342" s="19" t="s">
        <v>101</v>
      </c>
      <c r="F342" s="159" t="s">
        <v>12</v>
      </c>
      <c r="G342" s="303"/>
      <c r="H342" s="268"/>
      <c r="I342" s="487"/>
      <c r="J342" s="487"/>
      <c r="K342" s="487"/>
      <c r="L342" s="491"/>
      <c r="M342" s="487"/>
      <c r="N342" s="487"/>
      <c r="O342" s="487"/>
      <c r="P342" s="487"/>
      <c r="Q342" s="237"/>
      <c r="R342" s="237"/>
      <c r="S342" s="237"/>
      <c r="T342" s="237"/>
      <c r="U342" s="102"/>
      <c r="V342" s="102"/>
      <c r="W342" s="102"/>
      <c r="X342" s="102"/>
      <c r="Y342" s="102"/>
    </row>
    <row r="343" spans="1:25" x14ac:dyDescent="0.2">
      <c r="A343" s="225">
        <v>264</v>
      </c>
      <c r="B343" s="37"/>
      <c r="C343" s="10" t="s">
        <v>219</v>
      </c>
      <c r="D343" s="10"/>
      <c r="E343" s="19" t="s">
        <v>220</v>
      </c>
      <c r="F343" s="159" t="s">
        <v>12</v>
      </c>
      <c r="G343" s="303"/>
      <c r="H343" s="268"/>
      <c r="I343" s="487"/>
      <c r="J343" s="487"/>
      <c r="K343" s="487"/>
      <c r="L343" s="491"/>
      <c r="M343" s="487"/>
      <c r="N343" s="487"/>
      <c r="O343" s="487"/>
      <c r="P343" s="487"/>
      <c r="Q343" s="237"/>
      <c r="R343" s="237"/>
      <c r="S343" s="237"/>
      <c r="T343" s="237"/>
      <c r="U343" s="102"/>
      <c r="V343" s="102"/>
      <c r="W343" s="102"/>
      <c r="X343" s="102"/>
      <c r="Y343" s="102"/>
    </row>
    <row r="344" spans="1:25" x14ac:dyDescent="0.2">
      <c r="A344" s="225">
        <v>265</v>
      </c>
      <c r="B344" s="37"/>
      <c r="C344" s="10" t="s">
        <v>102</v>
      </c>
      <c r="D344" s="10"/>
      <c r="E344" s="19" t="s">
        <v>103</v>
      </c>
      <c r="F344" s="159" t="s">
        <v>12</v>
      </c>
      <c r="G344" s="303"/>
      <c r="H344" s="268"/>
      <c r="I344" s="487"/>
      <c r="J344" s="487"/>
      <c r="K344" s="487"/>
      <c r="L344" s="491"/>
      <c r="M344" s="487"/>
      <c r="N344" s="487"/>
      <c r="O344" s="487"/>
      <c r="P344" s="487"/>
      <c r="Q344" s="237"/>
      <c r="R344" s="237"/>
      <c r="S344" s="237"/>
      <c r="T344" s="237"/>
      <c r="U344" s="102"/>
      <c r="V344" s="102"/>
      <c r="W344" s="102"/>
      <c r="X344" s="102"/>
      <c r="Y344" s="102"/>
    </row>
    <row r="345" spans="1:25" x14ac:dyDescent="0.2">
      <c r="A345" s="225">
        <v>266</v>
      </c>
      <c r="B345" s="37"/>
      <c r="C345" s="10" t="s">
        <v>104</v>
      </c>
      <c r="D345" s="10"/>
      <c r="E345" s="19" t="s">
        <v>105</v>
      </c>
      <c r="F345" s="159" t="s">
        <v>12</v>
      </c>
      <c r="G345" s="303"/>
      <c r="H345" s="268"/>
      <c r="I345" s="487"/>
      <c r="J345" s="487"/>
      <c r="K345" s="487"/>
      <c r="L345" s="491"/>
      <c r="M345" s="487"/>
      <c r="N345" s="487"/>
      <c r="O345" s="487"/>
      <c r="P345" s="487"/>
      <c r="Q345" s="237"/>
      <c r="R345" s="237"/>
      <c r="S345" s="237"/>
      <c r="T345" s="237"/>
      <c r="U345" s="102"/>
      <c r="V345" s="102"/>
      <c r="W345" s="102"/>
      <c r="X345" s="102"/>
      <c r="Y345" s="102"/>
    </row>
    <row r="346" spans="1:25" x14ac:dyDescent="0.2">
      <c r="A346" s="225">
        <v>267</v>
      </c>
      <c r="B346" s="37"/>
      <c r="C346" s="86" t="s">
        <v>283</v>
      </c>
      <c r="D346" s="10"/>
      <c r="E346" s="19"/>
      <c r="F346" s="159"/>
      <c r="G346" s="303"/>
      <c r="H346" s="268"/>
      <c r="I346" s="487"/>
      <c r="J346" s="487"/>
      <c r="K346" s="487"/>
      <c r="L346" s="491"/>
      <c r="M346" s="487"/>
      <c r="N346" s="487"/>
      <c r="O346" s="487"/>
      <c r="P346" s="487"/>
      <c r="Q346" s="237"/>
      <c r="R346" s="237"/>
      <c r="S346" s="237"/>
      <c r="T346" s="237"/>
      <c r="U346" s="102"/>
      <c r="V346" s="102"/>
      <c r="W346" s="102"/>
      <c r="X346" s="102"/>
      <c r="Y346" s="102"/>
    </row>
    <row r="347" spans="1:25" x14ac:dyDescent="0.2">
      <c r="A347" s="225">
        <v>268</v>
      </c>
      <c r="B347" s="37"/>
      <c r="C347" s="86"/>
      <c r="D347" s="10"/>
      <c r="E347" s="19"/>
      <c r="F347" s="159"/>
      <c r="G347" s="303"/>
      <c r="H347" s="268"/>
      <c r="I347" s="487"/>
      <c r="J347" s="487"/>
      <c r="K347" s="487"/>
      <c r="L347" s="491"/>
      <c r="M347" s="487"/>
      <c r="N347" s="487"/>
      <c r="O347" s="487"/>
      <c r="P347" s="487"/>
      <c r="Q347" s="237"/>
      <c r="R347" s="237"/>
      <c r="S347" s="237"/>
      <c r="T347" s="237"/>
      <c r="U347" s="102"/>
      <c r="V347" s="102"/>
      <c r="W347" s="102"/>
      <c r="X347" s="102"/>
      <c r="Y347" s="102"/>
    </row>
    <row r="348" spans="1:25" x14ac:dyDescent="0.2">
      <c r="A348" s="225">
        <v>269</v>
      </c>
      <c r="B348" s="84"/>
      <c r="D348" s="14"/>
      <c r="E348" s="15"/>
      <c r="F348" s="167"/>
      <c r="G348" s="315"/>
      <c r="H348" s="283"/>
      <c r="I348" s="487"/>
      <c r="J348" s="487"/>
      <c r="K348" s="487"/>
      <c r="L348" s="491"/>
      <c r="M348" s="487"/>
      <c r="N348" s="487"/>
      <c r="O348" s="487"/>
      <c r="P348" s="487"/>
      <c r="Q348" s="237"/>
      <c r="R348" s="237"/>
      <c r="S348" s="237"/>
      <c r="T348" s="237"/>
      <c r="U348" s="102"/>
      <c r="V348" s="102"/>
      <c r="W348" s="102"/>
      <c r="X348" s="102"/>
      <c r="Y348" s="102"/>
    </row>
    <row r="349" spans="1:25" ht="15" x14ac:dyDescent="0.25">
      <c r="A349" s="226">
        <v>270</v>
      </c>
      <c r="B349" s="88" t="s">
        <v>195</v>
      </c>
      <c r="C349" s="52"/>
      <c r="D349" s="52"/>
      <c r="E349" s="50"/>
      <c r="F349" s="163"/>
      <c r="G349" s="306">
        <f>SUM(G330:G348)</f>
        <v>341624.40240000002</v>
      </c>
      <c r="H349" s="271"/>
      <c r="I349" s="487"/>
      <c r="J349" s="487"/>
      <c r="K349" s="487"/>
      <c r="L349" s="491"/>
      <c r="M349" s="487"/>
      <c r="N349" s="487"/>
      <c r="O349" s="487"/>
      <c r="P349" s="487"/>
      <c r="Q349" s="237"/>
      <c r="R349" s="237"/>
      <c r="S349" s="237"/>
      <c r="T349" s="237"/>
      <c r="U349" s="102"/>
      <c r="V349" s="102"/>
      <c r="W349" s="102"/>
      <c r="X349" s="102"/>
      <c r="Y349" s="102"/>
    </row>
    <row r="350" spans="1:25" ht="6" customHeight="1" x14ac:dyDescent="0.2">
      <c r="A350" s="225"/>
      <c r="B350" s="37"/>
      <c r="C350" s="10"/>
      <c r="D350" s="10"/>
      <c r="E350" s="19"/>
      <c r="F350" s="159"/>
      <c r="G350" s="303"/>
      <c r="H350" s="268"/>
      <c r="I350" s="487"/>
      <c r="J350" s="487"/>
      <c r="K350" s="487"/>
      <c r="L350" s="491"/>
      <c r="M350" s="487"/>
      <c r="N350" s="487"/>
      <c r="O350" s="487"/>
      <c r="P350" s="487"/>
      <c r="Q350" s="237"/>
      <c r="R350" s="237"/>
      <c r="S350" s="237"/>
      <c r="T350" s="237"/>
      <c r="U350" s="102"/>
      <c r="V350" s="102"/>
      <c r="W350" s="102"/>
      <c r="X350" s="102"/>
      <c r="Y350" s="102"/>
    </row>
    <row r="351" spans="1:25" ht="7.5" customHeight="1" x14ac:dyDescent="0.2">
      <c r="A351" s="225"/>
      <c r="B351" s="37"/>
      <c r="C351" s="10"/>
      <c r="D351" s="10"/>
      <c r="E351" s="19"/>
      <c r="F351" s="159"/>
      <c r="G351" s="303"/>
      <c r="H351" s="268"/>
      <c r="I351" s="487"/>
      <c r="J351" s="487"/>
      <c r="K351" s="487"/>
      <c r="L351" s="491"/>
      <c r="M351" s="487"/>
      <c r="N351" s="487"/>
      <c r="O351" s="487"/>
      <c r="P351" s="487"/>
      <c r="Q351" s="237"/>
      <c r="R351" s="237"/>
      <c r="S351" s="237"/>
      <c r="T351" s="237"/>
      <c r="U351" s="102"/>
      <c r="V351" s="102"/>
      <c r="W351" s="102"/>
      <c r="X351" s="102"/>
      <c r="Y351" s="102"/>
    </row>
    <row r="352" spans="1:25" s="5" customFormat="1" ht="15" x14ac:dyDescent="0.25">
      <c r="A352" s="225" t="s">
        <v>33</v>
      </c>
      <c r="B352" s="89" t="s">
        <v>289</v>
      </c>
      <c r="C352" s="54"/>
      <c r="D352" s="54"/>
      <c r="E352" s="62"/>
      <c r="F352" s="158"/>
      <c r="G352" s="302"/>
      <c r="H352" s="267"/>
      <c r="I352" s="487"/>
      <c r="J352" s="487"/>
      <c r="K352" s="487"/>
      <c r="L352" s="491"/>
      <c r="M352" s="487"/>
      <c r="N352" s="487"/>
      <c r="O352" s="487"/>
      <c r="P352" s="487"/>
      <c r="Q352" s="237"/>
      <c r="R352" s="237"/>
      <c r="S352" s="237"/>
      <c r="T352" s="237"/>
      <c r="U352" s="240"/>
      <c r="V352" s="240"/>
      <c r="W352" s="240"/>
      <c r="X352" s="240"/>
      <c r="Y352" s="240"/>
    </row>
    <row r="353" spans="1:25" x14ac:dyDescent="0.2">
      <c r="A353" s="225">
        <v>271</v>
      </c>
      <c r="B353" s="37"/>
      <c r="C353" s="10" t="s">
        <v>76</v>
      </c>
      <c r="D353" s="10"/>
      <c r="E353" s="19" t="s">
        <v>222</v>
      </c>
      <c r="F353" s="159" t="s">
        <v>13</v>
      </c>
      <c r="G353" s="303"/>
      <c r="H353" s="268"/>
      <c r="I353" s="487"/>
      <c r="J353" s="487"/>
      <c r="K353" s="487"/>
      <c r="L353" s="491"/>
      <c r="M353" s="487"/>
      <c r="N353" s="487"/>
      <c r="O353" s="487"/>
      <c r="P353" s="487"/>
      <c r="Q353" s="237"/>
      <c r="R353" s="237"/>
      <c r="S353" s="237"/>
      <c r="T353" s="237"/>
      <c r="U353" s="102"/>
      <c r="V353" s="102"/>
      <c r="W353" s="102"/>
      <c r="X353" s="102"/>
      <c r="Y353" s="102"/>
    </row>
    <row r="354" spans="1:25" x14ac:dyDescent="0.2">
      <c r="A354" s="225">
        <v>272</v>
      </c>
      <c r="B354" s="37"/>
      <c r="C354" s="10" t="s">
        <v>110</v>
      </c>
      <c r="D354" s="10"/>
      <c r="E354" s="19" t="s">
        <v>90</v>
      </c>
      <c r="F354" s="159" t="s">
        <v>196</v>
      </c>
      <c r="G354" s="303"/>
      <c r="H354" s="268"/>
      <c r="I354" s="487"/>
      <c r="J354" s="487"/>
      <c r="K354" s="487"/>
      <c r="L354" s="491"/>
      <c r="M354" s="487"/>
      <c r="N354" s="487"/>
      <c r="O354" s="487"/>
      <c r="P354" s="487"/>
      <c r="Q354" s="237"/>
      <c r="R354" s="237"/>
      <c r="S354" s="237"/>
      <c r="T354" s="237"/>
      <c r="U354" s="102"/>
      <c r="V354" s="102"/>
      <c r="W354" s="102"/>
      <c r="X354" s="102"/>
      <c r="Y354" s="102"/>
    </row>
    <row r="355" spans="1:25" x14ac:dyDescent="0.2">
      <c r="A355" s="225">
        <v>273</v>
      </c>
      <c r="B355" s="37"/>
      <c r="C355" s="10" t="s">
        <v>295</v>
      </c>
      <c r="D355" s="10"/>
      <c r="E355" s="19" t="s">
        <v>97</v>
      </c>
      <c r="F355" s="159" t="s">
        <v>13</v>
      </c>
      <c r="G355" s="303"/>
      <c r="H355" s="268"/>
      <c r="I355" s="487"/>
      <c r="J355" s="487"/>
      <c r="K355" s="487"/>
      <c r="L355" s="491"/>
      <c r="M355" s="487"/>
      <c r="N355" s="487"/>
      <c r="O355" s="487"/>
      <c r="P355" s="487"/>
      <c r="Q355" s="237"/>
      <c r="R355" s="237"/>
      <c r="S355" s="237"/>
      <c r="T355" s="237"/>
      <c r="U355" s="102"/>
      <c r="V355" s="102"/>
      <c r="W355" s="102"/>
      <c r="X355" s="102"/>
      <c r="Y355" s="102"/>
    </row>
    <row r="356" spans="1:25" x14ac:dyDescent="0.2">
      <c r="A356" s="225">
        <v>274</v>
      </c>
      <c r="B356" s="37"/>
      <c r="C356" s="10" t="s">
        <v>98</v>
      </c>
      <c r="D356" s="10"/>
      <c r="E356" s="19" t="s">
        <v>99</v>
      </c>
      <c r="F356" s="159" t="s">
        <v>13</v>
      </c>
      <c r="G356" s="303"/>
      <c r="H356" s="268"/>
      <c r="I356" s="487"/>
      <c r="J356" s="487"/>
      <c r="K356" s="487"/>
      <c r="L356" s="491"/>
      <c r="M356" s="487"/>
      <c r="N356" s="487"/>
      <c r="O356" s="487"/>
      <c r="P356" s="487"/>
      <c r="Q356" s="237"/>
      <c r="R356" s="237"/>
      <c r="S356" s="237"/>
      <c r="T356" s="237"/>
      <c r="U356" s="102"/>
      <c r="V356" s="102"/>
      <c r="W356" s="102"/>
      <c r="X356" s="102"/>
      <c r="Y356" s="102"/>
    </row>
    <row r="357" spans="1:25" x14ac:dyDescent="0.2">
      <c r="A357" s="225">
        <v>275</v>
      </c>
      <c r="B357" s="37"/>
      <c r="C357" s="10" t="s">
        <v>100</v>
      </c>
      <c r="D357" s="10"/>
      <c r="E357" s="19" t="s">
        <v>101</v>
      </c>
      <c r="F357" s="159" t="s">
        <v>13</v>
      </c>
      <c r="G357" s="303"/>
      <c r="H357" s="268"/>
      <c r="I357" s="487"/>
      <c r="J357" s="487"/>
      <c r="K357" s="487"/>
      <c r="L357" s="491"/>
      <c r="M357" s="487"/>
      <c r="N357" s="487"/>
      <c r="O357" s="487"/>
      <c r="P357" s="487"/>
      <c r="Q357" s="237"/>
      <c r="R357" s="237"/>
      <c r="S357" s="237"/>
      <c r="T357" s="237"/>
      <c r="U357" s="102"/>
      <c r="V357" s="102"/>
      <c r="W357" s="102"/>
      <c r="X357" s="102"/>
      <c r="Y357" s="102"/>
    </row>
    <row r="358" spans="1:25" x14ac:dyDescent="0.2">
      <c r="A358" s="225">
        <v>276</v>
      </c>
      <c r="B358" s="37"/>
      <c r="C358" s="10" t="s">
        <v>219</v>
      </c>
      <c r="D358" s="10"/>
      <c r="E358" s="19" t="s">
        <v>220</v>
      </c>
      <c r="F358" s="159" t="s">
        <v>13</v>
      </c>
      <c r="G358" s="303"/>
      <c r="H358" s="268"/>
      <c r="I358" s="487"/>
      <c r="J358" s="487"/>
      <c r="K358" s="487"/>
      <c r="L358" s="491"/>
      <c r="M358" s="487"/>
      <c r="N358" s="487"/>
      <c r="O358" s="487"/>
      <c r="P358" s="487"/>
      <c r="Q358" s="237"/>
      <c r="R358" s="237"/>
      <c r="S358" s="237"/>
      <c r="T358" s="237"/>
      <c r="U358" s="102"/>
      <c r="V358" s="102"/>
      <c r="W358" s="102"/>
      <c r="X358" s="102"/>
      <c r="Y358" s="102"/>
    </row>
    <row r="359" spans="1:25" x14ac:dyDescent="0.2">
      <c r="A359" s="225">
        <v>277</v>
      </c>
      <c r="B359" s="37"/>
      <c r="C359" s="10" t="s">
        <v>102</v>
      </c>
      <c r="D359" s="10"/>
      <c r="E359" s="19" t="s">
        <v>103</v>
      </c>
      <c r="F359" s="159" t="s">
        <v>13</v>
      </c>
      <c r="G359" s="303"/>
      <c r="H359" s="268"/>
      <c r="I359" s="487"/>
      <c r="J359" s="487"/>
      <c r="K359" s="487"/>
      <c r="L359" s="491"/>
      <c r="M359" s="487"/>
      <c r="N359" s="487"/>
      <c r="O359" s="487"/>
      <c r="P359" s="487"/>
      <c r="Q359" s="237"/>
      <c r="R359" s="237"/>
      <c r="S359" s="237"/>
      <c r="T359" s="237"/>
      <c r="U359" s="102"/>
      <c r="V359" s="102"/>
      <c r="W359" s="102"/>
      <c r="X359" s="102"/>
      <c r="Y359" s="102"/>
    </row>
    <row r="360" spans="1:25" x14ac:dyDescent="0.2">
      <c r="A360" s="225">
        <v>278</v>
      </c>
      <c r="B360" s="37"/>
      <c r="C360" s="10" t="s">
        <v>104</v>
      </c>
      <c r="D360" s="10"/>
      <c r="E360" s="19" t="s">
        <v>105</v>
      </c>
      <c r="F360" s="159" t="s">
        <v>13</v>
      </c>
      <c r="G360" s="303"/>
      <c r="H360" s="268"/>
      <c r="I360" s="487"/>
      <c r="J360" s="487"/>
      <c r="K360" s="487"/>
      <c r="L360" s="491"/>
      <c r="M360" s="487"/>
      <c r="N360" s="487"/>
      <c r="O360" s="487"/>
      <c r="P360" s="487"/>
      <c r="Q360" s="237"/>
      <c r="R360" s="237"/>
      <c r="S360" s="237"/>
      <c r="T360" s="237"/>
      <c r="U360" s="102"/>
      <c r="V360" s="102"/>
      <c r="W360" s="102"/>
      <c r="X360" s="102"/>
      <c r="Y360" s="102"/>
    </row>
    <row r="361" spans="1:25" x14ac:dyDescent="0.2">
      <c r="A361" s="225">
        <v>279</v>
      </c>
      <c r="B361" s="37"/>
      <c r="C361" s="86" t="s">
        <v>283</v>
      </c>
      <c r="D361" s="10"/>
      <c r="E361" s="19"/>
      <c r="F361" s="159"/>
      <c r="G361" s="303"/>
      <c r="H361" s="268"/>
      <c r="I361" s="487"/>
      <c r="J361" s="487"/>
      <c r="K361" s="487"/>
      <c r="L361" s="491"/>
      <c r="M361" s="487"/>
      <c r="N361" s="487"/>
      <c r="O361" s="487"/>
      <c r="P361" s="487"/>
      <c r="Q361" s="237"/>
      <c r="R361" s="237"/>
      <c r="S361" s="237"/>
      <c r="T361" s="237"/>
      <c r="U361" s="102"/>
      <c r="V361" s="102"/>
      <c r="W361" s="102"/>
      <c r="X361" s="102"/>
      <c r="Y361" s="102"/>
    </row>
    <row r="362" spans="1:25" x14ac:dyDescent="0.2">
      <c r="A362" s="225">
        <v>280</v>
      </c>
      <c r="B362" s="37"/>
      <c r="C362" s="86"/>
      <c r="D362" s="10"/>
      <c r="E362" s="19"/>
      <c r="F362" s="159"/>
      <c r="G362" s="303"/>
      <c r="H362" s="268"/>
      <c r="I362" s="487"/>
      <c r="J362" s="487"/>
      <c r="K362" s="487"/>
      <c r="L362" s="491"/>
      <c r="M362" s="487"/>
      <c r="N362" s="487"/>
      <c r="O362" s="487"/>
      <c r="P362" s="487"/>
      <c r="Q362" s="237"/>
      <c r="R362" s="237"/>
      <c r="S362" s="237"/>
      <c r="T362" s="237"/>
      <c r="U362" s="102"/>
      <c r="V362" s="102"/>
      <c r="W362" s="102"/>
      <c r="X362" s="102"/>
      <c r="Y362" s="102"/>
    </row>
    <row r="363" spans="1:25" x14ac:dyDescent="0.2">
      <c r="A363" s="225"/>
      <c r="B363" s="84"/>
      <c r="D363" s="14"/>
      <c r="E363" s="15"/>
      <c r="F363" s="167"/>
      <c r="G363" s="315"/>
      <c r="H363" s="283"/>
      <c r="I363" s="487"/>
      <c r="J363" s="487"/>
      <c r="K363" s="487"/>
      <c r="L363" s="491"/>
      <c r="M363" s="487"/>
      <c r="N363" s="487"/>
      <c r="O363" s="487"/>
      <c r="P363" s="487"/>
      <c r="Q363" s="237"/>
      <c r="R363" s="237"/>
      <c r="S363" s="237"/>
      <c r="T363" s="237"/>
      <c r="U363" s="102"/>
      <c r="V363" s="102"/>
      <c r="W363" s="102"/>
      <c r="X363" s="102"/>
      <c r="Y363" s="102"/>
    </row>
    <row r="364" spans="1:25" ht="15" x14ac:dyDescent="0.25">
      <c r="A364" s="226">
        <v>281</v>
      </c>
      <c r="B364" s="88" t="s">
        <v>290</v>
      </c>
      <c r="C364" s="52"/>
      <c r="D364" s="52"/>
      <c r="E364" s="50"/>
      <c r="F364" s="163"/>
      <c r="G364" s="306">
        <f>SUM(G353:G363)</f>
        <v>0</v>
      </c>
      <c r="H364" s="271"/>
      <c r="I364" s="487"/>
      <c r="J364" s="487"/>
      <c r="K364" s="487"/>
      <c r="L364" s="491"/>
      <c r="M364" s="487"/>
      <c r="N364" s="487"/>
      <c r="O364" s="487"/>
      <c r="P364" s="487"/>
      <c r="Q364" s="237"/>
      <c r="R364" s="237"/>
      <c r="S364" s="237"/>
      <c r="T364" s="237"/>
      <c r="U364" s="102"/>
      <c r="V364" s="102"/>
      <c r="W364" s="102"/>
      <c r="X364" s="102"/>
      <c r="Y364" s="102"/>
    </row>
    <row r="365" spans="1:25" ht="15.75" thickBot="1" x14ac:dyDescent="0.3">
      <c r="A365" s="225"/>
      <c r="B365" s="81"/>
      <c r="C365" s="11"/>
      <c r="D365" s="11"/>
      <c r="E365" s="19"/>
      <c r="F365" s="159"/>
      <c r="G365" s="303"/>
      <c r="H365" s="268"/>
      <c r="I365" s="487"/>
      <c r="J365" s="487"/>
      <c r="K365" s="487"/>
      <c r="L365" s="491"/>
      <c r="M365" s="487"/>
      <c r="N365" s="487"/>
      <c r="O365" s="487"/>
      <c r="P365" s="487"/>
      <c r="Q365" s="237"/>
      <c r="R365" s="237"/>
      <c r="S365" s="237"/>
      <c r="T365" s="237"/>
      <c r="U365" s="102"/>
      <c r="V365" s="102"/>
      <c r="W365" s="102"/>
      <c r="X365" s="102"/>
      <c r="Y365" s="102"/>
    </row>
    <row r="366" spans="1:25" ht="15" x14ac:dyDescent="0.25">
      <c r="A366" s="232"/>
      <c r="B366" s="116" t="s">
        <v>231</v>
      </c>
      <c r="C366" s="124"/>
      <c r="D366" s="124"/>
      <c r="E366" s="136"/>
      <c r="F366" s="175"/>
      <c r="G366" s="323"/>
      <c r="H366" s="293"/>
      <c r="I366" s="487"/>
      <c r="J366" s="487"/>
      <c r="K366" s="487"/>
      <c r="L366" s="491"/>
      <c r="M366" s="487"/>
      <c r="N366" s="487"/>
      <c r="O366" s="487"/>
      <c r="P366" s="487"/>
      <c r="Q366" s="237"/>
      <c r="R366" s="237"/>
      <c r="S366" s="237"/>
      <c r="T366" s="237"/>
      <c r="U366" s="102"/>
      <c r="V366" s="102"/>
      <c r="W366" s="102"/>
      <c r="X366" s="102"/>
      <c r="Y366" s="102"/>
    </row>
    <row r="367" spans="1:25" ht="15.75" thickBot="1" x14ac:dyDescent="0.3">
      <c r="A367" s="233">
        <v>282</v>
      </c>
      <c r="B367" s="132"/>
      <c r="C367" s="118"/>
      <c r="D367" s="118" t="s">
        <v>197</v>
      </c>
      <c r="E367" s="128"/>
      <c r="F367" s="176"/>
      <c r="G367" s="324">
        <f>+G349+G364</f>
        <v>341624.40240000002</v>
      </c>
      <c r="H367" s="294"/>
      <c r="I367" s="487"/>
      <c r="J367" s="487"/>
      <c r="K367" s="487"/>
      <c r="L367" s="491"/>
      <c r="M367" s="487"/>
      <c r="N367" s="487"/>
      <c r="O367" s="487"/>
      <c r="P367" s="487"/>
      <c r="Q367" s="237"/>
      <c r="R367" s="237"/>
      <c r="S367" s="237"/>
      <c r="T367" s="237"/>
      <c r="U367" s="102"/>
      <c r="V367" s="102"/>
      <c r="W367" s="102"/>
      <c r="X367" s="102"/>
      <c r="Y367" s="102"/>
    </row>
    <row r="368" spans="1:25" s="5" customFormat="1" ht="15" x14ac:dyDescent="0.25">
      <c r="A368" s="230"/>
      <c r="B368" s="133" t="s">
        <v>18</v>
      </c>
      <c r="C368" s="57"/>
      <c r="D368" s="57"/>
      <c r="E368" s="72"/>
      <c r="F368" s="157"/>
      <c r="G368" s="301"/>
      <c r="H368" s="266"/>
      <c r="I368" s="487"/>
      <c r="J368" s="487"/>
      <c r="K368" s="487"/>
      <c r="L368" s="491"/>
      <c r="M368" s="487"/>
      <c r="N368" s="487"/>
      <c r="O368" s="487"/>
      <c r="P368" s="487"/>
      <c r="Q368" s="237"/>
      <c r="R368" s="237"/>
      <c r="S368" s="237"/>
      <c r="T368" s="237"/>
      <c r="U368" s="240"/>
      <c r="V368" s="240"/>
      <c r="W368" s="240"/>
      <c r="X368" s="240"/>
      <c r="Y368" s="240"/>
    </row>
    <row r="369" spans="1:25" x14ac:dyDescent="0.2">
      <c r="A369" s="225">
        <v>283</v>
      </c>
      <c r="B369" s="37"/>
      <c r="C369" s="10" t="s">
        <v>199</v>
      </c>
      <c r="D369" s="10"/>
      <c r="E369" s="19" t="s">
        <v>200</v>
      </c>
      <c r="F369" s="159" t="s">
        <v>201</v>
      </c>
      <c r="G369" s="303"/>
      <c r="H369" s="268"/>
      <c r="I369" s="487"/>
      <c r="J369" s="487"/>
      <c r="K369" s="487"/>
      <c r="L369" s="491"/>
      <c r="M369" s="487"/>
      <c r="N369" s="487"/>
      <c r="O369" s="487"/>
      <c r="P369" s="487"/>
      <c r="Q369" s="237"/>
      <c r="R369" s="237"/>
      <c r="S369" s="237"/>
      <c r="T369" s="237"/>
      <c r="U369" s="102"/>
      <c r="V369" s="102"/>
      <c r="W369" s="102"/>
      <c r="X369" s="102"/>
      <c r="Y369" s="102"/>
    </row>
    <row r="370" spans="1:25" x14ac:dyDescent="0.2">
      <c r="A370" s="225">
        <v>284</v>
      </c>
      <c r="B370" s="37"/>
      <c r="C370" s="10" t="s">
        <v>202</v>
      </c>
      <c r="D370" s="10"/>
      <c r="E370" s="19" t="s">
        <v>203</v>
      </c>
      <c r="F370" s="159" t="s">
        <v>198</v>
      </c>
      <c r="G370" s="303"/>
      <c r="H370" s="268"/>
      <c r="I370" s="487"/>
      <c r="J370" s="487"/>
      <c r="K370" s="487"/>
      <c r="L370" s="491"/>
      <c r="M370" s="487"/>
      <c r="N370" s="487"/>
      <c r="O370" s="487"/>
      <c r="P370" s="487"/>
      <c r="Q370" s="237"/>
      <c r="R370" s="237"/>
      <c r="S370" s="237"/>
      <c r="T370" s="237"/>
      <c r="U370" s="102"/>
      <c r="V370" s="102"/>
      <c r="W370" s="102"/>
      <c r="X370" s="102"/>
      <c r="Y370" s="102"/>
    </row>
    <row r="371" spans="1:25" x14ac:dyDescent="0.2">
      <c r="A371" s="225">
        <v>285</v>
      </c>
      <c r="B371" s="37"/>
      <c r="C371" s="10" t="s">
        <v>204</v>
      </c>
      <c r="D371" s="10"/>
      <c r="E371" s="19" t="s">
        <v>203</v>
      </c>
      <c r="F371" s="159" t="s">
        <v>205</v>
      </c>
      <c r="G371" s="303"/>
      <c r="H371" s="268"/>
      <c r="I371" s="487"/>
      <c r="J371" s="487"/>
      <c r="K371" s="487"/>
      <c r="L371" s="491"/>
      <c r="M371" s="487"/>
      <c r="N371" s="487"/>
      <c r="O371" s="487"/>
      <c r="P371" s="487"/>
      <c r="Q371" s="237"/>
      <c r="R371" s="237"/>
      <c r="S371" s="237"/>
      <c r="T371" s="237"/>
      <c r="U371" s="102"/>
      <c r="V371" s="102"/>
      <c r="W371" s="102"/>
      <c r="X371" s="102"/>
      <c r="Y371" s="102"/>
    </row>
    <row r="372" spans="1:25" x14ac:dyDescent="0.2">
      <c r="A372" s="225">
        <v>286</v>
      </c>
      <c r="B372" s="37"/>
      <c r="C372" s="10" t="s">
        <v>93</v>
      </c>
      <c r="D372" s="10"/>
      <c r="E372" s="19" t="s">
        <v>94</v>
      </c>
      <c r="F372" s="159" t="s">
        <v>198</v>
      </c>
      <c r="G372" s="303"/>
      <c r="H372" s="268"/>
      <c r="I372" s="487"/>
      <c r="J372" s="487"/>
      <c r="K372" s="487"/>
      <c r="L372" s="491"/>
      <c r="M372" s="487"/>
      <c r="N372" s="487"/>
      <c r="O372" s="487"/>
      <c r="P372" s="487"/>
      <c r="Q372" s="237"/>
      <c r="R372" s="237"/>
      <c r="S372" s="237"/>
      <c r="T372" s="237"/>
      <c r="U372" s="102"/>
      <c r="V372" s="102"/>
      <c r="W372" s="102"/>
      <c r="X372" s="102"/>
      <c r="Y372" s="102"/>
    </row>
    <row r="373" spans="1:25" x14ac:dyDescent="0.2">
      <c r="A373" s="225">
        <v>287</v>
      </c>
      <c r="B373" s="37"/>
      <c r="C373" s="10" t="s">
        <v>85</v>
      </c>
      <c r="D373" s="10"/>
      <c r="E373" s="19" t="s">
        <v>86</v>
      </c>
      <c r="F373" s="159" t="s">
        <v>206</v>
      </c>
      <c r="G373" s="303"/>
      <c r="H373" s="268"/>
      <c r="I373" s="487"/>
      <c r="J373" s="487"/>
      <c r="K373" s="487"/>
      <c r="L373" s="491"/>
      <c r="M373" s="487"/>
      <c r="N373" s="487"/>
      <c r="O373" s="487"/>
      <c r="P373" s="487"/>
      <c r="Q373" s="237"/>
      <c r="R373" s="237"/>
      <c r="S373" s="237"/>
      <c r="T373" s="237"/>
      <c r="U373" s="102"/>
      <c r="V373" s="102"/>
      <c r="W373" s="102"/>
      <c r="X373" s="102"/>
      <c r="Y373" s="102"/>
    </row>
    <row r="374" spans="1:25" x14ac:dyDescent="0.2">
      <c r="A374" s="225">
        <v>288</v>
      </c>
      <c r="B374" s="37"/>
      <c r="C374" s="86" t="s">
        <v>283</v>
      </c>
      <c r="D374" s="10"/>
      <c r="E374" s="19"/>
      <c r="F374" s="159"/>
      <c r="G374" s="303"/>
      <c r="H374" s="268"/>
      <c r="I374" s="487"/>
      <c r="J374" s="487"/>
      <c r="K374" s="487"/>
      <c r="L374" s="491"/>
      <c r="M374" s="487"/>
      <c r="N374" s="487"/>
      <c r="O374" s="487"/>
      <c r="P374" s="487"/>
      <c r="Q374" s="237"/>
      <c r="R374" s="237"/>
      <c r="S374" s="237"/>
      <c r="T374" s="237"/>
      <c r="U374" s="102"/>
      <c r="V374" s="102"/>
      <c r="W374" s="102"/>
      <c r="X374" s="102"/>
      <c r="Y374" s="102"/>
    </row>
    <row r="375" spans="1:25" x14ac:dyDescent="0.2">
      <c r="A375" s="225">
        <v>289</v>
      </c>
      <c r="B375" s="37"/>
      <c r="C375" s="86"/>
      <c r="D375" s="10"/>
      <c r="E375" s="19"/>
      <c r="F375" s="159"/>
      <c r="G375" s="303"/>
      <c r="H375" s="268"/>
      <c r="I375" s="487"/>
      <c r="J375" s="487"/>
      <c r="K375" s="487"/>
      <c r="L375" s="491"/>
      <c r="M375" s="487"/>
      <c r="N375" s="487"/>
      <c r="O375" s="487"/>
      <c r="P375" s="487"/>
      <c r="Q375" s="237"/>
      <c r="R375" s="237"/>
      <c r="S375" s="237"/>
      <c r="T375" s="237"/>
      <c r="U375" s="102"/>
      <c r="V375" s="102"/>
      <c r="W375" s="102"/>
      <c r="X375" s="102"/>
      <c r="Y375" s="102"/>
    </row>
    <row r="376" spans="1:25" ht="15" thickBot="1" x14ac:dyDescent="0.25">
      <c r="A376" s="225">
        <v>290</v>
      </c>
      <c r="B376" s="84"/>
      <c r="D376" s="14"/>
      <c r="E376" s="15"/>
      <c r="F376" s="167"/>
      <c r="G376" s="315"/>
      <c r="H376" s="283"/>
      <c r="I376" s="487"/>
      <c r="J376" s="487"/>
      <c r="K376" s="487"/>
      <c r="L376" s="491"/>
      <c r="M376" s="487"/>
      <c r="N376" s="487"/>
      <c r="O376" s="487"/>
      <c r="P376" s="487"/>
      <c r="Q376" s="237"/>
      <c r="R376" s="237"/>
      <c r="S376" s="237"/>
      <c r="T376" s="237"/>
      <c r="U376" s="102"/>
      <c r="V376" s="102"/>
      <c r="W376" s="102"/>
      <c r="X376" s="102"/>
      <c r="Y376" s="102"/>
    </row>
    <row r="377" spans="1:25" ht="15" x14ac:dyDescent="0.25">
      <c r="A377" s="232"/>
      <c r="B377" s="116" t="s">
        <v>207</v>
      </c>
      <c r="C377" s="124"/>
      <c r="D377" s="124"/>
      <c r="E377" s="136"/>
      <c r="F377" s="175"/>
      <c r="G377" s="323"/>
      <c r="H377" s="293"/>
      <c r="I377" s="487"/>
      <c r="J377" s="487"/>
      <c r="K377" s="487"/>
      <c r="L377" s="491"/>
      <c r="M377" s="487"/>
      <c r="N377" s="487"/>
      <c r="O377" s="487"/>
      <c r="P377" s="487"/>
      <c r="Q377" s="237"/>
      <c r="R377" s="237"/>
      <c r="S377" s="237"/>
      <c r="T377" s="237"/>
      <c r="U377" s="102"/>
      <c r="V377" s="102"/>
      <c r="W377" s="102"/>
      <c r="X377" s="102"/>
      <c r="Y377" s="102"/>
    </row>
    <row r="378" spans="1:25" ht="15.75" thickBot="1" x14ac:dyDescent="0.3">
      <c r="A378" s="233">
        <v>291</v>
      </c>
      <c r="B378" s="125"/>
      <c r="C378" s="126"/>
      <c r="D378" s="118" t="s">
        <v>2</v>
      </c>
      <c r="E378" s="128"/>
      <c r="F378" s="176"/>
      <c r="G378" s="324">
        <f>SUM(G369:G376)</f>
        <v>0</v>
      </c>
      <c r="H378" s="294"/>
      <c r="I378" s="487"/>
      <c r="J378" s="487"/>
      <c r="K378" s="487"/>
      <c r="L378" s="491"/>
      <c r="M378" s="487"/>
      <c r="N378" s="487"/>
      <c r="O378" s="487"/>
      <c r="P378" s="487"/>
      <c r="Q378" s="237"/>
      <c r="R378" s="237"/>
      <c r="S378" s="237"/>
      <c r="T378" s="237"/>
      <c r="U378" s="102"/>
      <c r="V378" s="102"/>
      <c r="W378" s="102"/>
      <c r="X378" s="102"/>
      <c r="Y378" s="102"/>
    </row>
    <row r="379" spans="1:25" x14ac:dyDescent="0.2">
      <c r="A379" s="230"/>
      <c r="B379" s="36"/>
      <c r="C379" s="13"/>
      <c r="D379" s="13"/>
      <c r="E379" s="17"/>
      <c r="F379" s="171"/>
      <c r="G379" s="319"/>
      <c r="H379" s="288"/>
      <c r="I379" s="487"/>
      <c r="J379" s="487"/>
      <c r="K379" s="487"/>
      <c r="L379" s="491"/>
      <c r="M379" s="487"/>
      <c r="N379" s="487"/>
      <c r="O379" s="487"/>
      <c r="P379" s="487"/>
      <c r="Q379" s="237"/>
      <c r="R379" s="237"/>
      <c r="S379" s="237"/>
      <c r="T379" s="237"/>
      <c r="U379" s="102"/>
      <c r="V379" s="102"/>
      <c r="W379" s="102"/>
      <c r="X379" s="102"/>
      <c r="Y379" s="102"/>
    </row>
    <row r="380" spans="1:25" s="5" customFormat="1" ht="15" x14ac:dyDescent="0.25">
      <c r="A380" s="225"/>
      <c r="B380" s="53" t="s">
        <v>286</v>
      </c>
      <c r="C380" s="54"/>
      <c r="D380" s="54"/>
      <c r="E380" s="62"/>
      <c r="F380" s="158"/>
      <c r="G380" s="302"/>
      <c r="H380" s="267"/>
      <c r="I380" s="487"/>
      <c r="J380" s="487"/>
      <c r="K380" s="487"/>
      <c r="L380" s="491"/>
      <c r="M380" s="487"/>
      <c r="N380" s="487"/>
      <c r="O380" s="487"/>
      <c r="P380" s="487"/>
      <c r="Q380" s="237"/>
      <c r="R380" s="237"/>
      <c r="S380" s="237"/>
      <c r="T380" s="237"/>
      <c r="U380" s="240"/>
      <c r="V380" s="240"/>
      <c r="W380" s="240"/>
      <c r="X380" s="240"/>
      <c r="Y380" s="240"/>
    </row>
    <row r="381" spans="1:25" x14ac:dyDescent="0.2">
      <c r="A381" s="225"/>
      <c r="B381" s="37"/>
      <c r="C381" s="10" t="s">
        <v>31</v>
      </c>
      <c r="D381" s="10"/>
      <c r="E381" s="62"/>
      <c r="F381" s="158"/>
      <c r="G381" s="302"/>
      <c r="H381" s="267"/>
      <c r="I381" s="487"/>
      <c r="J381" s="487"/>
      <c r="K381" s="487"/>
      <c r="L381" s="491"/>
      <c r="M381" s="487"/>
      <c r="N381" s="487"/>
      <c r="O381" s="487"/>
      <c r="P381" s="487"/>
      <c r="Q381" s="237"/>
      <c r="R381" s="237"/>
      <c r="S381" s="237"/>
      <c r="T381" s="237"/>
      <c r="U381" s="102"/>
      <c r="V381" s="102"/>
      <c r="W381" s="102"/>
      <c r="X381" s="102"/>
      <c r="Y381" s="102"/>
    </row>
    <row r="382" spans="1:25" x14ac:dyDescent="0.2">
      <c r="A382" s="225">
        <v>292</v>
      </c>
      <c r="B382" s="37"/>
      <c r="C382" s="10"/>
      <c r="D382" s="10" t="s">
        <v>209</v>
      </c>
      <c r="E382" s="19" t="s">
        <v>149</v>
      </c>
      <c r="F382" s="159" t="s">
        <v>208</v>
      </c>
      <c r="G382" s="303"/>
      <c r="H382" s="268"/>
      <c r="I382" s="487"/>
      <c r="J382" s="487"/>
      <c r="K382" s="487"/>
      <c r="L382" s="491"/>
      <c r="M382" s="487"/>
      <c r="N382" s="487"/>
      <c r="O382" s="487"/>
      <c r="P382" s="487"/>
      <c r="Q382" s="237"/>
      <c r="R382" s="237"/>
      <c r="S382" s="237"/>
      <c r="T382" s="237"/>
      <c r="U382" s="102"/>
      <c r="V382" s="102"/>
      <c r="W382" s="102"/>
      <c r="X382" s="102"/>
      <c r="Y382" s="102"/>
    </row>
    <row r="383" spans="1:25" x14ac:dyDescent="0.2">
      <c r="A383" s="225">
        <v>293</v>
      </c>
      <c r="B383" s="37"/>
      <c r="C383" s="10"/>
      <c r="D383" s="10" t="s">
        <v>210</v>
      </c>
      <c r="E383" s="19" t="s">
        <v>152</v>
      </c>
      <c r="F383" s="159" t="s">
        <v>208</v>
      </c>
      <c r="G383" s="303"/>
      <c r="H383" s="268"/>
      <c r="I383" s="487"/>
      <c r="J383" s="487"/>
      <c r="K383" s="487"/>
      <c r="L383" s="491"/>
      <c r="M383" s="487"/>
      <c r="N383" s="487"/>
      <c r="O383" s="487"/>
      <c r="P383" s="487"/>
      <c r="Q383" s="237"/>
      <c r="R383" s="237"/>
      <c r="S383" s="237"/>
      <c r="T383" s="237"/>
      <c r="U383" s="102"/>
      <c r="V383" s="102"/>
      <c r="W383" s="102"/>
      <c r="X383" s="102"/>
      <c r="Y383" s="102"/>
    </row>
    <row r="384" spans="1:25" x14ac:dyDescent="0.2">
      <c r="A384" s="225">
        <v>294</v>
      </c>
      <c r="B384" s="37"/>
      <c r="C384" s="10"/>
      <c r="D384" s="10" t="s">
        <v>211</v>
      </c>
      <c r="E384" s="19" t="s">
        <v>212</v>
      </c>
      <c r="F384" s="159" t="s">
        <v>208</v>
      </c>
      <c r="G384" s="303"/>
      <c r="H384" s="268"/>
      <c r="I384" s="487"/>
      <c r="J384" s="487"/>
      <c r="K384" s="487"/>
      <c r="L384" s="491"/>
      <c r="M384" s="487"/>
      <c r="N384" s="487"/>
      <c r="O384" s="487"/>
      <c r="P384" s="487"/>
      <c r="Q384" s="237"/>
      <c r="R384" s="237"/>
      <c r="S384" s="237"/>
      <c r="T384" s="237"/>
      <c r="U384" s="102"/>
      <c r="V384" s="102"/>
      <c r="W384" s="102"/>
      <c r="X384" s="102"/>
      <c r="Y384" s="102"/>
    </row>
    <row r="385" spans="1:25" x14ac:dyDescent="0.2">
      <c r="A385" s="225">
        <v>295</v>
      </c>
      <c r="B385" s="37"/>
      <c r="C385" s="10"/>
      <c r="D385" s="10" t="s">
        <v>95</v>
      </c>
      <c r="E385" s="19" t="s">
        <v>96</v>
      </c>
      <c r="F385" s="159" t="s">
        <v>208</v>
      </c>
      <c r="G385" s="321"/>
      <c r="H385" s="290"/>
      <c r="I385" s="487"/>
      <c r="J385" s="487"/>
      <c r="K385" s="487"/>
      <c r="L385" s="491"/>
      <c r="M385" s="487"/>
      <c r="N385" s="487"/>
      <c r="O385" s="487"/>
      <c r="P385" s="487"/>
      <c r="Q385" s="237"/>
      <c r="R385" s="237"/>
      <c r="S385" s="237"/>
      <c r="T385" s="237"/>
      <c r="U385" s="102"/>
      <c r="V385" s="102"/>
      <c r="W385" s="102"/>
      <c r="X385" s="102"/>
      <c r="Y385" s="102"/>
    </row>
    <row r="386" spans="1:25" x14ac:dyDescent="0.2">
      <c r="A386" s="225">
        <v>296</v>
      </c>
      <c r="B386" s="37"/>
      <c r="C386" s="86" t="s">
        <v>283</v>
      </c>
      <c r="D386" s="10"/>
      <c r="E386" s="19"/>
      <c r="F386" s="159"/>
      <c r="G386" s="303"/>
      <c r="H386" s="268"/>
      <c r="I386" s="487"/>
      <c r="J386" s="487"/>
      <c r="K386" s="487"/>
      <c r="L386" s="491"/>
      <c r="M386" s="487"/>
      <c r="N386" s="487"/>
      <c r="O386" s="487"/>
      <c r="P386" s="487"/>
      <c r="Q386" s="237"/>
      <c r="R386" s="237"/>
      <c r="S386" s="237"/>
      <c r="T386" s="237"/>
      <c r="U386" s="102"/>
      <c r="V386" s="102"/>
      <c r="W386" s="102"/>
      <c r="X386" s="102"/>
      <c r="Y386" s="102"/>
    </row>
    <row r="387" spans="1:25" x14ac:dyDescent="0.2">
      <c r="A387" s="225">
        <v>297</v>
      </c>
      <c r="B387" s="37"/>
      <c r="C387" s="86"/>
      <c r="D387" s="10"/>
      <c r="E387" s="19"/>
      <c r="F387" s="159"/>
      <c r="G387" s="303"/>
      <c r="H387" s="268"/>
      <c r="I387" s="487"/>
      <c r="J387" s="487"/>
      <c r="K387" s="487"/>
      <c r="L387" s="491"/>
      <c r="M387" s="487"/>
      <c r="N387" s="487"/>
      <c r="O387" s="487"/>
      <c r="P387" s="487"/>
      <c r="Q387" s="237"/>
      <c r="R387" s="237"/>
      <c r="S387" s="237"/>
      <c r="T387" s="237"/>
      <c r="U387" s="102"/>
      <c r="V387" s="102"/>
      <c r="W387" s="102"/>
      <c r="X387" s="102"/>
      <c r="Y387" s="102"/>
    </row>
    <row r="388" spans="1:25" ht="15" thickBot="1" x14ac:dyDescent="0.25">
      <c r="A388" s="225">
        <v>298</v>
      </c>
      <c r="B388" s="84"/>
      <c r="D388" s="14"/>
      <c r="E388" s="15"/>
      <c r="F388" s="167"/>
      <c r="G388" s="315"/>
      <c r="H388" s="283"/>
      <c r="I388" s="487"/>
      <c r="J388" s="487"/>
      <c r="K388" s="487"/>
      <c r="L388" s="491"/>
      <c r="M388" s="487"/>
      <c r="N388" s="487"/>
      <c r="O388" s="487"/>
      <c r="P388" s="487"/>
      <c r="Q388" s="237"/>
      <c r="R388" s="237"/>
      <c r="S388" s="237"/>
      <c r="T388" s="237"/>
      <c r="U388" s="102"/>
      <c r="V388" s="102"/>
      <c r="W388" s="102"/>
      <c r="X388" s="102"/>
      <c r="Y388" s="102"/>
    </row>
    <row r="389" spans="1:25" ht="15.75" thickBot="1" x14ac:dyDescent="0.3">
      <c r="A389" s="229">
        <v>299</v>
      </c>
      <c r="B389" s="76" t="s">
        <v>287</v>
      </c>
      <c r="C389" s="77"/>
      <c r="D389" s="77"/>
      <c r="E389" s="46"/>
      <c r="F389" s="166"/>
      <c r="G389" s="312">
        <f>SUM(G381:G388)</f>
        <v>0</v>
      </c>
      <c r="H389" s="287"/>
      <c r="I389" s="487"/>
      <c r="J389" s="487"/>
      <c r="K389" s="487"/>
      <c r="L389" s="491"/>
      <c r="M389" s="487"/>
      <c r="N389" s="487"/>
      <c r="O389" s="487"/>
      <c r="P389" s="487"/>
      <c r="Q389" s="237"/>
      <c r="R389" s="237"/>
      <c r="S389" s="237"/>
      <c r="T389" s="237"/>
      <c r="U389" s="102"/>
      <c r="V389" s="102"/>
      <c r="W389" s="102"/>
      <c r="X389" s="102"/>
      <c r="Y389" s="102"/>
    </row>
    <row r="390" spans="1:25" ht="15" thickBot="1" x14ac:dyDescent="0.25">
      <c r="A390" s="225"/>
      <c r="B390" s="37"/>
      <c r="C390" s="10"/>
      <c r="D390" s="10"/>
      <c r="E390" s="19"/>
      <c r="F390" s="159"/>
      <c r="G390" s="303"/>
      <c r="H390" s="268"/>
      <c r="I390" s="487"/>
      <c r="J390" s="487"/>
      <c r="K390" s="487"/>
      <c r="L390" s="491"/>
      <c r="M390" s="487"/>
      <c r="N390" s="487"/>
      <c r="O390" s="487"/>
      <c r="P390" s="487"/>
      <c r="Q390" s="237"/>
      <c r="R390" s="237"/>
      <c r="S390" s="237"/>
      <c r="T390" s="237"/>
      <c r="U390" s="102"/>
      <c r="V390" s="102"/>
      <c r="W390" s="102"/>
      <c r="X390" s="102"/>
      <c r="Y390" s="102"/>
    </row>
    <row r="391" spans="1:25" ht="15.75" thickBot="1" x14ac:dyDescent="0.3">
      <c r="A391" s="229">
        <v>300</v>
      </c>
      <c r="B391" s="76" t="s">
        <v>213</v>
      </c>
      <c r="C391" s="77"/>
      <c r="D391" s="77"/>
      <c r="E391" s="46"/>
      <c r="F391" s="166"/>
      <c r="G391" s="312">
        <f>+G154+G326+G367+G378+G389</f>
        <v>8016416.8478981582</v>
      </c>
      <c r="H391" s="287"/>
      <c r="I391" s="487"/>
      <c r="J391" s="487"/>
      <c r="K391" s="487"/>
      <c r="L391" s="491"/>
      <c r="M391" s="487"/>
      <c r="N391" s="487"/>
      <c r="O391" s="487"/>
      <c r="P391" s="487"/>
      <c r="Q391" s="237"/>
      <c r="R391" s="237"/>
      <c r="S391" s="237"/>
      <c r="T391" s="237"/>
      <c r="U391" s="102"/>
      <c r="V391" s="102"/>
      <c r="W391" s="102"/>
      <c r="X391" s="102"/>
      <c r="Y391" s="102"/>
    </row>
    <row r="392" spans="1:25" x14ac:dyDescent="0.2">
      <c r="A392" s="225"/>
      <c r="B392" s="37"/>
      <c r="C392" s="10"/>
      <c r="D392" s="10"/>
      <c r="E392" s="19"/>
      <c r="F392" s="159"/>
      <c r="G392" s="303"/>
      <c r="H392" s="268"/>
      <c r="I392" s="487"/>
      <c r="J392" s="487"/>
      <c r="K392" s="487"/>
      <c r="L392" s="491"/>
      <c r="M392" s="487"/>
      <c r="N392" s="487"/>
      <c r="O392" s="487"/>
      <c r="P392" s="487"/>
      <c r="Q392" s="237"/>
      <c r="R392" s="237"/>
      <c r="S392" s="237"/>
      <c r="T392" s="237"/>
      <c r="U392" s="102"/>
      <c r="V392" s="102"/>
      <c r="W392" s="102"/>
      <c r="X392" s="102"/>
      <c r="Y392" s="102"/>
    </row>
    <row r="393" spans="1:25" s="5" customFormat="1" ht="15" x14ac:dyDescent="0.25">
      <c r="A393" s="225"/>
      <c r="B393" s="87" t="s">
        <v>291</v>
      </c>
      <c r="C393" s="12"/>
      <c r="D393" s="12"/>
      <c r="E393" s="78"/>
      <c r="F393" s="170"/>
      <c r="G393" s="318"/>
      <c r="H393" s="286"/>
      <c r="I393" s="489"/>
      <c r="J393" s="489"/>
      <c r="K393" s="489"/>
      <c r="L393" s="491"/>
      <c r="M393" s="489"/>
      <c r="N393" s="489"/>
      <c r="O393" s="489"/>
      <c r="P393" s="489"/>
      <c r="Q393" s="244"/>
      <c r="R393" s="244"/>
      <c r="S393" s="244"/>
      <c r="T393" s="244"/>
      <c r="U393" s="240"/>
      <c r="V393" s="240"/>
      <c r="W393" s="240"/>
      <c r="X393" s="240"/>
      <c r="Y393" s="240"/>
    </row>
    <row r="394" spans="1:25" x14ac:dyDescent="0.2">
      <c r="A394" s="225">
        <v>301</v>
      </c>
      <c r="B394" s="37" t="s">
        <v>4</v>
      </c>
      <c r="C394" s="10"/>
      <c r="D394" s="10"/>
      <c r="E394" s="19" t="s">
        <v>221</v>
      </c>
      <c r="F394" s="159" t="s">
        <v>253</v>
      </c>
      <c r="G394" s="303"/>
      <c r="H394" s="268"/>
      <c r="I394" s="487"/>
      <c r="J394" s="487"/>
      <c r="K394" s="487"/>
      <c r="L394" s="491"/>
      <c r="M394" s="487"/>
      <c r="N394" s="487"/>
      <c r="O394" s="487"/>
      <c r="P394" s="487"/>
      <c r="Q394" s="237"/>
      <c r="R394" s="237"/>
      <c r="S394" s="237"/>
      <c r="T394" s="237"/>
      <c r="U394" s="102"/>
      <c r="V394" s="102"/>
      <c r="W394" s="102"/>
      <c r="X394" s="102"/>
      <c r="Y394" s="102"/>
    </row>
    <row r="395" spans="1:25" ht="15" thickBot="1" x14ac:dyDescent="0.25">
      <c r="A395" s="225">
        <v>302</v>
      </c>
      <c r="B395" s="37"/>
      <c r="C395" s="10"/>
      <c r="D395" s="10"/>
      <c r="E395" s="19"/>
      <c r="F395" s="159"/>
      <c r="G395" s="303"/>
      <c r="H395" s="268"/>
      <c r="I395" s="487"/>
      <c r="J395" s="487"/>
      <c r="K395" s="487"/>
      <c r="L395" s="491"/>
      <c r="M395" s="487"/>
      <c r="N395" s="487"/>
      <c r="O395" s="487"/>
      <c r="P395" s="487"/>
      <c r="Q395" s="237"/>
      <c r="R395" s="237"/>
      <c r="S395" s="237"/>
      <c r="T395" s="237"/>
      <c r="U395" s="102"/>
      <c r="V395" s="102"/>
      <c r="W395" s="102"/>
      <c r="X395" s="102"/>
      <c r="Y395" s="102"/>
    </row>
    <row r="396" spans="1:25" ht="15.75" thickBot="1" x14ac:dyDescent="0.3">
      <c r="A396" s="229">
        <v>303</v>
      </c>
      <c r="B396" s="76" t="s">
        <v>214</v>
      </c>
      <c r="C396" s="77"/>
      <c r="D396" s="77"/>
      <c r="E396" s="46"/>
      <c r="F396" s="166"/>
      <c r="G396" s="312">
        <f>SUM(G392:G395)</f>
        <v>0</v>
      </c>
      <c r="H396" s="287"/>
      <c r="I396" s="487"/>
      <c r="J396" s="487"/>
      <c r="K396" s="487"/>
      <c r="L396" s="491"/>
      <c r="M396" s="487"/>
      <c r="N396" s="487"/>
      <c r="O396" s="487"/>
      <c r="P396" s="487"/>
      <c r="Q396" s="237"/>
      <c r="R396" s="237"/>
      <c r="S396" s="237"/>
      <c r="T396" s="237"/>
      <c r="U396" s="102"/>
      <c r="V396" s="102"/>
      <c r="W396" s="102"/>
      <c r="X396" s="102"/>
      <c r="Y396" s="102"/>
    </row>
    <row r="397" spans="1:25" ht="15" thickBot="1" x14ac:dyDescent="0.25">
      <c r="A397" s="225"/>
      <c r="B397" s="37"/>
      <c r="C397" s="10"/>
      <c r="D397" s="10"/>
      <c r="E397" s="19"/>
      <c r="F397" s="159"/>
      <c r="G397" s="303"/>
      <c r="H397" s="268"/>
      <c r="I397" s="487"/>
      <c r="J397" s="487"/>
      <c r="K397" s="487"/>
      <c r="L397" s="491"/>
      <c r="M397" s="487"/>
      <c r="N397" s="487"/>
      <c r="O397" s="487"/>
      <c r="P397" s="487"/>
      <c r="Q397" s="237"/>
      <c r="R397" s="237"/>
      <c r="S397" s="237"/>
      <c r="T397" s="237"/>
      <c r="U397" s="102"/>
      <c r="V397" s="102"/>
      <c r="W397" s="102"/>
      <c r="X397" s="102"/>
      <c r="Y397" s="102"/>
    </row>
    <row r="398" spans="1:25" s="5" customFormat="1" ht="15.75" thickBot="1" x14ac:dyDescent="0.3">
      <c r="A398" s="235" t="s">
        <v>215</v>
      </c>
      <c r="B398" s="76"/>
      <c r="C398" s="77"/>
      <c r="D398" s="77"/>
      <c r="E398" s="120"/>
      <c r="F398" s="177"/>
      <c r="G398" s="325"/>
      <c r="H398" s="295"/>
      <c r="I398" s="489"/>
      <c r="J398" s="489"/>
      <c r="K398" s="489"/>
      <c r="L398" s="491"/>
      <c r="M398" s="489"/>
      <c r="N398" s="489"/>
      <c r="O398" s="489"/>
      <c r="P398" s="489"/>
      <c r="Q398" s="244"/>
      <c r="R398" s="244"/>
      <c r="S398" s="244"/>
      <c r="T398" s="244"/>
      <c r="U398" s="240"/>
      <c r="V398" s="240"/>
      <c r="W398" s="240"/>
      <c r="X398" s="240"/>
      <c r="Y398" s="240"/>
    </row>
    <row r="399" spans="1:25" ht="15" x14ac:dyDescent="0.25">
      <c r="A399" s="232"/>
      <c r="B399" s="131"/>
      <c r="C399" s="130" t="s">
        <v>254</v>
      </c>
      <c r="D399" s="119"/>
      <c r="E399" s="136"/>
      <c r="F399" s="175"/>
      <c r="G399" s="323"/>
      <c r="H399" s="293"/>
      <c r="I399" s="487"/>
      <c r="J399" s="487"/>
      <c r="K399" s="487"/>
      <c r="L399" s="491"/>
      <c r="M399" s="487"/>
      <c r="N399" s="487"/>
      <c r="O399" s="487"/>
      <c r="P399" s="487"/>
      <c r="Q399" s="237"/>
      <c r="R399" s="237"/>
      <c r="S399" s="237"/>
      <c r="T399" s="237"/>
      <c r="U399" s="102"/>
      <c r="V399" s="102"/>
      <c r="W399" s="102"/>
      <c r="X399" s="102"/>
      <c r="Y399" s="102"/>
    </row>
    <row r="400" spans="1:25" ht="15.75" thickBot="1" x14ac:dyDescent="0.3">
      <c r="A400" s="257">
        <v>304</v>
      </c>
      <c r="B400" s="258"/>
      <c r="C400" s="259" t="s">
        <v>3</v>
      </c>
      <c r="D400" s="260"/>
      <c r="E400" s="261"/>
      <c r="F400" s="262"/>
      <c r="G400" s="326">
        <f>+G70-G391-G396</f>
        <v>688474.2065633731</v>
      </c>
      <c r="H400" s="296"/>
      <c r="I400" s="487"/>
      <c r="J400" s="487"/>
      <c r="K400" s="487"/>
      <c r="L400" s="491"/>
      <c r="M400" s="487"/>
      <c r="N400" s="487"/>
      <c r="O400" s="487"/>
      <c r="P400" s="487"/>
      <c r="Q400" s="237"/>
      <c r="R400" s="237"/>
      <c r="S400" s="237"/>
      <c r="T400" s="237"/>
      <c r="U400" s="102"/>
      <c r="V400" s="102"/>
      <c r="W400" s="102"/>
      <c r="X400" s="102"/>
      <c r="Y400" s="102"/>
    </row>
    <row r="401" spans="1:25" ht="15" thickTop="1" x14ac:dyDescent="0.2">
      <c r="A401" s="221"/>
      <c r="G401" s="327"/>
      <c r="H401" s="281"/>
      <c r="I401" s="102"/>
      <c r="J401" s="102"/>
      <c r="K401" s="102"/>
      <c r="L401" s="102"/>
      <c r="M401" s="102"/>
      <c r="N401" s="102"/>
      <c r="O401" s="102"/>
      <c r="P401" s="102"/>
      <c r="Q401" s="102"/>
      <c r="R401" s="102"/>
      <c r="S401" s="102"/>
      <c r="T401" s="102"/>
      <c r="U401" s="102"/>
      <c r="V401" s="102"/>
      <c r="W401" s="102"/>
      <c r="X401" s="102"/>
      <c r="Y401" s="102"/>
    </row>
    <row r="402" spans="1:25" x14ac:dyDescent="0.2">
      <c r="A402" s="221"/>
      <c r="G402" s="327"/>
      <c r="H402" s="281"/>
      <c r="I402" s="494"/>
      <c r="J402" s="102"/>
      <c r="K402" s="102"/>
      <c r="L402" s="102"/>
      <c r="M402" s="102"/>
      <c r="N402" s="102"/>
      <c r="O402" s="102"/>
      <c r="P402" s="102"/>
      <c r="Q402" s="102"/>
      <c r="R402" s="102"/>
      <c r="S402" s="102"/>
      <c r="T402" s="102"/>
      <c r="U402" s="102"/>
      <c r="V402" s="102"/>
      <c r="W402" s="102"/>
      <c r="X402" s="102"/>
      <c r="Y402" s="102"/>
    </row>
    <row r="403" spans="1:25" x14ac:dyDescent="0.2">
      <c r="A403" s="221"/>
      <c r="G403" s="352"/>
      <c r="H403" s="281"/>
      <c r="I403" s="102"/>
      <c r="J403" s="102"/>
      <c r="K403" s="102"/>
      <c r="L403" s="102"/>
      <c r="M403" s="102"/>
      <c r="N403" s="102"/>
      <c r="O403" s="102"/>
      <c r="P403" s="102"/>
      <c r="Q403" s="102"/>
      <c r="R403" s="102"/>
      <c r="S403" s="102"/>
      <c r="T403" s="102"/>
      <c r="U403" s="102"/>
      <c r="V403" s="102"/>
      <c r="W403" s="102"/>
      <c r="X403" s="102"/>
      <c r="Y403" s="102"/>
    </row>
    <row r="404" spans="1:25" x14ac:dyDescent="0.2">
      <c r="A404" s="221"/>
      <c r="G404" s="327"/>
      <c r="H404" s="281"/>
      <c r="I404" s="102"/>
      <c r="J404" s="102"/>
      <c r="K404" s="102"/>
      <c r="L404" s="102"/>
      <c r="M404" s="102"/>
      <c r="N404" s="102"/>
      <c r="O404" s="102"/>
      <c r="P404" s="102"/>
      <c r="Q404" s="102"/>
      <c r="R404" s="102"/>
      <c r="S404" s="102"/>
      <c r="T404" s="102"/>
      <c r="U404" s="102"/>
      <c r="V404" s="102"/>
      <c r="W404" s="102"/>
      <c r="X404" s="102"/>
      <c r="Y404" s="102"/>
    </row>
    <row r="405" spans="1:25" x14ac:dyDescent="0.2">
      <c r="A405" s="221"/>
      <c r="G405" s="353"/>
      <c r="H405" s="281"/>
      <c r="I405" s="102"/>
      <c r="J405" s="102"/>
      <c r="K405" s="102"/>
      <c r="L405" s="102"/>
      <c r="M405" s="102"/>
      <c r="N405" s="102"/>
      <c r="O405" s="102"/>
      <c r="P405" s="102"/>
      <c r="Q405" s="102"/>
      <c r="R405" s="102"/>
      <c r="S405" s="102"/>
      <c r="T405" s="102"/>
      <c r="U405" s="102"/>
      <c r="V405" s="102"/>
      <c r="W405" s="102"/>
      <c r="X405" s="102"/>
      <c r="Y405" s="102"/>
    </row>
    <row r="406" spans="1:25" x14ac:dyDescent="0.2">
      <c r="A406" s="221"/>
      <c r="G406" s="327"/>
      <c r="H406" s="281"/>
      <c r="I406" s="102"/>
      <c r="J406" s="102"/>
      <c r="K406" s="102"/>
      <c r="L406" s="102"/>
      <c r="M406" s="102"/>
      <c r="N406" s="102"/>
      <c r="O406" s="102"/>
      <c r="P406" s="102"/>
      <c r="Q406" s="102"/>
      <c r="R406" s="102"/>
      <c r="S406" s="102"/>
      <c r="T406" s="102"/>
      <c r="U406" s="102"/>
      <c r="V406" s="102"/>
      <c r="W406" s="102"/>
      <c r="X406" s="102"/>
      <c r="Y406" s="102"/>
    </row>
    <row r="407" spans="1:25" x14ac:dyDescent="0.2">
      <c r="A407" s="221"/>
      <c r="G407" s="327"/>
      <c r="H407" s="281"/>
      <c r="I407" s="102"/>
      <c r="J407" s="102"/>
      <c r="K407" s="102"/>
      <c r="L407" s="102"/>
      <c r="M407" s="102"/>
      <c r="N407" s="102"/>
      <c r="O407" s="102"/>
      <c r="P407" s="102"/>
      <c r="Q407" s="102"/>
      <c r="R407" s="102"/>
      <c r="S407" s="102"/>
      <c r="T407" s="102"/>
      <c r="U407" s="102"/>
      <c r="V407" s="102"/>
      <c r="W407" s="102"/>
      <c r="X407" s="102"/>
      <c r="Y407" s="102"/>
    </row>
    <row r="408" spans="1:25" x14ac:dyDescent="0.2">
      <c r="A408" s="221"/>
      <c r="G408" s="327"/>
      <c r="H408" s="281"/>
      <c r="I408" s="102"/>
      <c r="J408" s="102"/>
      <c r="K408" s="102"/>
      <c r="L408" s="102"/>
      <c r="M408" s="102"/>
      <c r="N408" s="102"/>
      <c r="O408" s="102"/>
      <c r="P408" s="102"/>
      <c r="Q408" s="102"/>
      <c r="R408" s="102"/>
      <c r="S408" s="102"/>
      <c r="T408" s="102"/>
      <c r="U408" s="102"/>
      <c r="V408" s="102"/>
      <c r="W408" s="102"/>
      <c r="X408" s="102"/>
      <c r="Y408" s="102"/>
    </row>
    <row r="409" spans="1:25" x14ac:dyDescent="0.2">
      <c r="A409" s="221"/>
      <c r="G409" s="327"/>
    </row>
    <row r="410" spans="1:25" x14ac:dyDescent="0.2">
      <c r="A410" s="221"/>
    </row>
    <row r="411" spans="1:25" x14ac:dyDescent="0.2">
      <c r="A411" s="221"/>
    </row>
    <row r="412" spans="1:25" x14ac:dyDescent="0.2">
      <c r="A412" s="221"/>
    </row>
    <row r="413" spans="1:25" x14ac:dyDescent="0.2">
      <c r="A413" s="221"/>
    </row>
    <row r="414" spans="1:25" x14ac:dyDescent="0.2">
      <c r="A414" s="221"/>
    </row>
    <row r="415" spans="1:25" x14ac:dyDescent="0.2">
      <c r="A415" s="221"/>
    </row>
    <row r="416" spans="1:25" x14ac:dyDescent="0.2">
      <c r="A416" s="221"/>
    </row>
    <row r="417" spans="1:1" x14ac:dyDescent="0.2">
      <c r="A417" s="221"/>
    </row>
    <row r="418" spans="1:1" x14ac:dyDescent="0.2">
      <c r="A418" s="221"/>
    </row>
    <row r="419" spans="1:1" x14ac:dyDescent="0.2">
      <c r="A419" s="221"/>
    </row>
    <row r="420" spans="1:1" x14ac:dyDescent="0.2">
      <c r="A420" s="221"/>
    </row>
    <row r="421" spans="1:1" x14ac:dyDescent="0.2">
      <c r="A421" s="221"/>
    </row>
    <row r="422" spans="1:1" x14ac:dyDescent="0.2">
      <c r="A422" s="221"/>
    </row>
    <row r="423" spans="1:1" x14ac:dyDescent="0.2">
      <c r="A423" s="221"/>
    </row>
    <row r="424" spans="1:1" x14ac:dyDescent="0.2">
      <c r="A424" s="221"/>
    </row>
    <row r="425" spans="1:1" x14ac:dyDescent="0.2">
      <c r="A425" s="221"/>
    </row>
    <row r="426" spans="1:1" x14ac:dyDescent="0.2">
      <c r="A426" s="221"/>
    </row>
    <row r="427" spans="1:1" x14ac:dyDescent="0.2">
      <c r="A427" s="221"/>
    </row>
    <row r="428" spans="1:1" x14ac:dyDescent="0.2">
      <c r="A428" s="221"/>
    </row>
    <row r="429" spans="1:1" x14ac:dyDescent="0.2">
      <c r="A429" s="221"/>
    </row>
    <row r="430" spans="1:1" x14ac:dyDescent="0.2">
      <c r="A430" s="221"/>
    </row>
    <row r="431" spans="1:1" x14ac:dyDescent="0.2">
      <c r="A431" s="221"/>
    </row>
    <row r="432" spans="1:1" x14ac:dyDescent="0.2">
      <c r="A432" s="221"/>
    </row>
    <row r="433" spans="1:1" x14ac:dyDescent="0.2">
      <c r="A433" s="221"/>
    </row>
    <row r="434" spans="1:1" x14ac:dyDescent="0.2">
      <c r="A434" s="221"/>
    </row>
    <row r="435" spans="1:1" x14ac:dyDescent="0.2">
      <c r="A435" s="221"/>
    </row>
    <row r="436" spans="1:1" x14ac:dyDescent="0.2">
      <c r="A436" s="221"/>
    </row>
    <row r="437" spans="1:1" x14ac:dyDescent="0.2">
      <c r="A437" s="221"/>
    </row>
    <row r="438" spans="1:1" x14ac:dyDescent="0.2">
      <c r="A438" s="221"/>
    </row>
    <row r="439" spans="1:1" x14ac:dyDescent="0.2">
      <c r="A439" s="221"/>
    </row>
    <row r="440" spans="1:1" x14ac:dyDescent="0.2">
      <c r="A440" s="221"/>
    </row>
    <row r="441" spans="1:1" x14ac:dyDescent="0.2">
      <c r="A441" s="221"/>
    </row>
    <row r="442" spans="1:1" x14ac:dyDescent="0.2">
      <c r="A442" s="221"/>
    </row>
    <row r="443" spans="1:1" x14ac:dyDescent="0.2">
      <c r="A443" s="221"/>
    </row>
    <row r="444" spans="1:1" x14ac:dyDescent="0.2">
      <c r="A444" s="221"/>
    </row>
    <row r="445" spans="1:1" x14ac:dyDescent="0.2">
      <c r="A445" s="221"/>
    </row>
    <row r="446" spans="1:1" x14ac:dyDescent="0.2">
      <c r="A446" s="221"/>
    </row>
    <row r="447" spans="1:1" x14ac:dyDescent="0.2">
      <c r="A447" s="221"/>
    </row>
    <row r="448" spans="1:1" x14ac:dyDescent="0.2">
      <c r="A448" s="221"/>
    </row>
    <row r="449" spans="1:1" x14ac:dyDescent="0.2">
      <c r="A449" s="221"/>
    </row>
    <row r="450" spans="1:1" x14ac:dyDescent="0.2">
      <c r="A450" s="221"/>
    </row>
    <row r="451" spans="1:1" x14ac:dyDescent="0.2">
      <c r="A451" s="221"/>
    </row>
    <row r="452" spans="1:1" x14ac:dyDescent="0.2">
      <c r="A452" s="221"/>
    </row>
    <row r="453" spans="1:1" x14ac:dyDescent="0.2">
      <c r="A453" s="221"/>
    </row>
    <row r="454" spans="1:1" x14ac:dyDescent="0.2">
      <c r="A454" s="221"/>
    </row>
    <row r="455" spans="1:1" x14ac:dyDescent="0.2">
      <c r="A455" s="221"/>
    </row>
    <row r="456" spans="1:1" x14ac:dyDescent="0.2">
      <c r="A456" s="221"/>
    </row>
    <row r="457" spans="1:1" x14ac:dyDescent="0.2">
      <c r="A457" s="221"/>
    </row>
    <row r="458" spans="1:1" x14ac:dyDescent="0.2">
      <c r="A458" s="221"/>
    </row>
    <row r="459" spans="1:1" x14ac:dyDescent="0.2">
      <c r="A459" s="221"/>
    </row>
    <row r="460" spans="1:1" x14ac:dyDescent="0.2">
      <c r="A460" s="221"/>
    </row>
    <row r="461" spans="1:1" x14ac:dyDescent="0.2">
      <c r="A461" s="221"/>
    </row>
    <row r="462" spans="1:1" x14ac:dyDescent="0.2">
      <c r="A462" s="221"/>
    </row>
    <row r="463" spans="1:1" x14ac:dyDescent="0.2">
      <c r="A463" s="221"/>
    </row>
    <row r="464" spans="1:1" x14ac:dyDescent="0.2">
      <c r="A464" s="221"/>
    </row>
    <row r="465" spans="1:1" x14ac:dyDescent="0.2">
      <c r="A465" s="221"/>
    </row>
    <row r="466" spans="1:1" x14ac:dyDescent="0.2">
      <c r="A466" s="221"/>
    </row>
    <row r="467" spans="1:1" x14ac:dyDescent="0.2">
      <c r="A467" s="221"/>
    </row>
    <row r="468" spans="1:1" x14ac:dyDescent="0.2">
      <c r="A468" s="221"/>
    </row>
    <row r="469" spans="1:1" x14ac:dyDescent="0.2">
      <c r="A469" s="221"/>
    </row>
    <row r="470" spans="1:1" x14ac:dyDescent="0.2">
      <c r="A470" s="221"/>
    </row>
    <row r="471" spans="1:1" x14ac:dyDescent="0.2">
      <c r="A471" s="221"/>
    </row>
    <row r="472" spans="1:1" x14ac:dyDescent="0.2">
      <c r="A472" s="221"/>
    </row>
    <row r="473" spans="1:1" x14ac:dyDescent="0.2">
      <c r="A473" s="221"/>
    </row>
    <row r="474" spans="1:1" x14ac:dyDescent="0.2">
      <c r="A474" s="221"/>
    </row>
    <row r="475" spans="1:1" x14ac:dyDescent="0.2">
      <c r="A475" s="221"/>
    </row>
    <row r="476" spans="1:1" x14ac:dyDescent="0.2">
      <c r="A476" s="221"/>
    </row>
    <row r="477" spans="1:1" x14ac:dyDescent="0.2">
      <c r="A477" s="221"/>
    </row>
    <row r="478" spans="1:1" x14ac:dyDescent="0.2">
      <c r="A478" s="221"/>
    </row>
    <row r="479" spans="1:1" x14ac:dyDescent="0.2">
      <c r="A479" s="221"/>
    </row>
    <row r="480" spans="1:1" x14ac:dyDescent="0.2">
      <c r="A480" s="221"/>
    </row>
    <row r="481" spans="1:1" x14ac:dyDescent="0.2">
      <c r="A481" s="221"/>
    </row>
    <row r="482" spans="1:1" x14ac:dyDescent="0.2">
      <c r="A482" s="221"/>
    </row>
    <row r="483" spans="1:1" x14ac:dyDescent="0.2">
      <c r="A483" s="221"/>
    </row>
    <row r="484" spans="1:1" x14ac:dyDescent="0.2">
      <c r="A484" s="221"/>
    </row>
    <row r="485" spans="1:1" x14ac:dyDescent="0.2">
      <c r="A485" s="221"/>
    </row>
    <row r="486" spans="1:1" x14ac:dyDescent="0.2">
      <c r="A486" s="221"/>
    </row>
    <row r="487" spans="1:1" x14ac:dyDescent="0.2">
      <c r="A487" s="221"/>
    </row>
    <row r="488" spans="1:1" x14ac:dyDescent="0.2">
      <c r="A488" s="221"/>
    </row>
    <row r="489" spans="1:1" x14ac:dyDescent="0.2">
      <c r="A489" s="221"/>
    </row>
    <row r="490" spans="1:1" x14ac:dyDescent="0.2">
      <c r="A490" s="221"/>
    </row>
    <row r="491" spans="1:1" x14ac:dyDescent="0.2">
      <c r="A491" s="221"/>
    </row>
    <row r="492" spans="1:1" x14ac:dyDescent="0.2">
      <c r="A492" s="221"/>
    </row>
    <row r="493" spans="1:1" x14ac:dyDescent="0.2">
      <c r="A493" s="221"/>
    </row>
    <row r="494" spans="1:1" x14ac:dyDescent="0.2">
      <c r="A494" s="221"/>
    </row>
    <row r="495" spans="1:1" x14ac:dyDescent="0.2">
      <c r="A495" s="221"/>
    </row>
    <row r="496" spans="1:1" x14ac:dyDescent="0.2">
      <c r="A496" s="221"/>
    </row>
    <row r="497" spans="1:1" x14ac:dyDescent="0.2">
      <c r="A497" s="221"/>
    </row>
    <row r="498" spans="1:1" x14ac:dyDescent="0.2">
      <c r="A498" s="221"/>
    </row>
    <row r="499" spans="1:1" x14ac:dyDescent="0.2">
      <c r="A499" s="221"/>
    </row>
    <row r="500" spans="1:1" x14ac:dyDescent="0.2">
      <c r="A500" s="221"/>
    </row>
    <row r="501" spans="1:1" x14ac:dyDescent="0.2">
      <c r="A501" s="221"/>
    </row>
    <row r="502" spans="1:1" x14ac:dyDescent="0.2">
      <c r="A502" s="221"/>
    </row>
    <row r="503" spans="1:1" x14ac:dyDescent="0.2">
      <c r="A503" s="221"/>
    </row>
    <row r="504" spans="1:1" x14ac:dyDescent="0.2">
      <c r="A504" s="221"/>
    </row>
    <row r="505" spans="1:1" x14ac:dyDescent="0.2">
      <c r="A505" s="221"/>
    </row>
    <row r="506" spans="1:1" x14ac:dyDescent="0.2">
      <c r="A506" s="221"/>
    </row>
    <row r="507" spans="1:1" x14ac:dyDescent="0.2">
      <c r="A507" s="221"/>
    </row>
    <row r="508" spans="1:1" x14ac:dyDescent="0.2">
      <c r="A508" s="221"/>
    </row>
    <row r="509" spans="1:1" x14ac:dyDescent="0.2">
      <c r="A509" s="221"/>
    </row>
    <row r="510" spans="1:1" x14ac:dyDescent="0.2">
      <c r="A510" s="221"/>
    </row>
    <row r="511" spans="1:1" x14ac:dyDescent="0.2">
      <c r="A511" s="221"/>
    </row>
    <row r="512" spans="1:1" x14ac:dyDescent="0.2">
      <c r="A512" s="221"/>
    </row>
    <row r="513" spans="1:1" x14ac:dyDescent="0.2">
      <c r="A513" s="221"/>
    </row>
    <row r="514" spans="1:1" x14ac:dyDescent="0.2">
      <c r="A514" s="221"/>
    </row>
    <row r="515" spans="1:1" x14ac:dyDescent="0.2">
      <c r="A515" s="221"/>
    </row>
    <row r="516" spans="1:1" x14ac:dyDescent="0.2">
      <c r="A516" s="221"/>
    </row>
    <row r="517" spans="1:1" x14ac:dyDescent="0.2">
      <c r="A517" s="221"/>
    </row>
    <row r="518" spans="1:1" x14ac:dyDescent="0.2">
      <c r="A518" s="221"/>
    </row>
    <row r="519" spans="1:1" x14ac:dyDescent="0.2">
      <c r="A519" s="221"/>
    </row>
    <row r="520" spans="1:1" x14ac:dyDescent="0.2">
      <c r="A520" s="221"/>
    </row>
    <row r="521" spans="1:1" x14ac:dyDescent="0.2">
      <c r="A521" s="221"/>
    </row>
    <row r="522" spans="1:1" x14ac:dyDescent="0.2">
      <c r="A522" s="221"/>
    </row>
    <row r="523" spans="1:1" x14ac:dyDescent="0.2">
      <c r="A523" s="221"/>
    </row>
    <row r="524" spans="1:1" x14ac:dyDescent="0.2">
      <c r="A524" s="221"/>
    </row>
    <row r="525" spans="1:1" x14ac:dyDescent="0.2">
      <c r="A525" s="221"/>
    </row>
    <row r="526" spans="1:1" x14ac:dyDescent="0.2">
      <c r="A526" s="221"/>
    </row>
    <row r="527" spans="1:1" x14ac:dyDescent="0.2">
      <c r="A527" s="221"/>
    </row>
    <row r="528" spans="1:1" x14ac:dyDescent="0.2">
      <c r="A528" s="221"/>
    </row>
    <row r="529" spans="1:1" x14ac:dyDescent="0.2">
      <c r="A529" s="221"/>
    </row>
    <row r="530" spans="1:1" x14ac:dyDescent="0.2">
      <c r="A530" s="221"/>
    </row>
    <row r="531" spans="1:1" x14ac:dyDescent="0.2">
      <c r="A531" s="221"/>
    </row>
    <row r="532" spans="1:1" x14ac:dyDescent="0.2">
      <c r="A532" s="221"/>
    </row>
    <row r="533" spans="1:1" x14ac:dyDescent="0.2">
      <c r="A533" s="221"/>
    </row>
    <row r="534" spans="1:1" x14ac:dyDescent="0.2">
      <c r="A534" s="221"/>
    </row>
    <row r="535" spans="1:1" x14ac:dyDescent="0.2">
      <c r="A535" s="221"/>
    </row>
    <row r="536" spans="1:1" x14ac:dyDescent="0.2">
      <c r="A536" s="221"/>
    </row>
    <row r="537" spans="1:1" x14ac:dyDescent="0.2">
      <c r="A537" s="221"/>
    </row>
    <row r="538" spans="1:1" x14ac:dyDescent="0.2">
      <c r="A538" s="221"/>
    </row>
    <row r="539" spans="1:1" x14ac:dyDescent="0.2">
      <c r="A539" s="221"/>
    </row>
    <row r="540" spans="1:1" x14ac:dyDescent="0.2">
      <c r="A540" s="221"/>
    </row>
    <row r="541" spans="1:1" x14ac:dyDescent="0.2">
      <c r="A541" s="221"/>
    </row>
    <row r="542" spans="1:1" x14ac:dyDescent="0.2">
      <c r="A542" s="221"/>
    </row>
    <row r="543" spans="1:1" x14ac:dyDescent="0.2">
      <c r="A543" s="221"/>
    </row>
    <row r="544" spans="1:1" x14ac:dyDescent="0.2">
      <c r="A544" s="221"/>
    </row>
    <row r="545" spans="1:1" x14ac:dyDescent="0.2">
      <c r="A545" s="221"/>
    </row>
    <row r="546" spans="1:1" x14ac:dyDescent="0.2">
      <c r="A546" s="221"/>
    </row>
    <row r="547" spans="1:1" x14ac:dyDescent="0.2">
      <c r="A547" s="221"/>
    </row>
    <row r="548" spans="1:1" x14ac:dyDescent="0.2">
      <c r="A548" s="221"/>
    </row>
    <row r="549" spans="1:1" x14ac:dyDescent="0.2">
      <c r="A549" s="221"/>
    </row>
    <row r="550" spans="1:1" x14ac:dyDescent="0.2">
      <c r="A550" s="221"/>
    </row>
    <row r="551" spans="1:1" x14ac:dyDescent="0.2">
      <c r="A551" s="221"/>
    </row>
    <row r="552" spans="1:1" x14ac:dyDescent="0.2">
      <c r="A552" s="221"/>
    </row>
    <row r="553" spans="1:1" x14ac:dyDescent="0.2">
      <c r="A553" s="221"/>
    </row>
    <row r="554" spans="1:1" x14ac:dyDescent="0.2">
      <c r="A554" s="221"/>
    </row>
    <row r="555" spans="1:1" x14ac:dyDescent="0.2">
      <c r="A555" s="221"/>
    </row>
    <row r="556" spans="1:1" x14ac:dyDescent="0.2">
      <c r="A556" s="221"/>
    </row>
    <row r="557" spans="1:1" x14ac:dyDescent="0.2">
      <c r="A557" s="221"/>
    </row>
    <row r="558" spans="1:1" x14ac:dyDescent="0.2">
      <c r="A558" s="221"/>
    </row>
    <row r="559" spans="1:1" x14ac:dyDescent="0.2">
      <c r="A559" s="221"/>
    </row>
    <row r="560" spans="1:1" x14ac:dyDescent="0.2">
      <c r="A560" s="221"/>
    </row>
    <row r="561" spans="1:1" x14ac:dyDescent="0.2">
      <c r="A561" s="221"/>
    </row>
    <row r="562" spans="1:1" x14ac:dyDescent="0.2">
      <c r="A562" s="221"/>
    </row>
    <row r="563" spans="1:1" x14ac:dyDescent="0.2">
      <c r="A563" s="221"/>
    </row>
    <row r="564" spans="1:1" x14ac:dyDescent="0.2">
      <c r="A564" s="221"/>
    </row>
    <row r="565" spans="1:1" x14ac:dyDescent="0.2">
      <c r="A565" s="221"/>
    </row>
    <row r="566" spans="1:1" x14ac:dyDescent="0.2">
      <c r="A566" s="221"/>
    </row>
    <row r="567" spans="1:1" x14ac:dyDescent="0.2">
      <c r="A567" s="221"/>
    </row>
    <row r="568" spans="1:1" x14ac:dyDescent="0.2">
      <c r="A568" s="221"/>
    </row>
    <row r="569" spans="1:1" x14ac:dyDescent="0.2">
      <c r="A569" s="221"/>
    </row>
    <row r="570" spans="1:1" x14ac:dyDescent="0.2">
      <c r="A570" s="221"/>
    </row>
    <row r="571" spans="1:1" x14ac:dyDescent="0.2">
      <c r="A571" s="221"/>
    </row>
    <row r="572" spans="1:1" x14ac:dyDescent="0.2">
      <c r="A572" s="221"/>
    </row>
    <row r="573" spans="1:1" x14ac:dyDescent="0.2">
      <c r="A573" s="221"/>
    </row>
    <row r="574" spans="1:1" x14ac:dyDescent="0.2">
      <c r="A574" s="221"/>
    </row>
    <row r="575" spans="1:1" x14ac:dyDescent="0.2">
      <c r="A575" s="221"/>
    </row>
    <row r="576" spans="1:1" x14ac:dyDescent="0.2">
      <c r="A576" s="221"/>
    </row>
    <row r="577" spans="1:1" x14ac:dyDescent="0.2">
      <c r="A577" s="221"/>
    </row>
    <row r="578" spans="1:1" x14ac:dyDescent="0.2">
      <c r="A578" s="221"/>
    </row>
    <row r="579" spans="1:1" x14ac:dyDescent="0.2">
      <c r="A579" s="221"/>
    </row>
    <row r="580" spans="1:1" x14ac:dyDescent="0.2">
      <c r="A580" s="221"/>
    </row>
    <row r="581" spans="1:1" x14ac:dyDescent="0.2">
      <c r="A581" s="221"/>
    </row>
    <row r="582" spans="1:1" x14ac:dyDescent="0.2">
      <c r="A582" s="221"/>
    </row>
    <row r="583" spans="1:1" x14ac:dyDescent="0.2">
      <c r="A583" s="221"/>
    </row>
    <row r="584" spans="1:1" x14ac:dyDescent="0.2">
      <c r="A584" s="221"/>
    </row>
    <row r="585" spans="1:1" x14ac:dyDescent="0.2">
      <c r="A585" s="221"/>
    </row>
    <row r="586" spans="1:1" x14ac:dyDescent="0.2">
      <c r="A586" s="221"/>
    </row>
    <row r="587" spans="1:1" x14ac:dyDescent="0.2">
      <c r="A587" s="221"/>
    </row>
    <row r="588" spans="1:1" x14ac:dyDescent="0.2">
      <c r="A588" s="221"/>
    </row>
    <row r="589" spans="1:1" x14ac:dyDescent="0.2">
      <c r="A589" s="221"/>
    </row>
    <row r="590" spans="1:1" x14ac:dyDescent="0.2">
      <c r="A590" s="221"/>
    </row>
    <row r="591" spans="1:1" x14ac:dyDescent="0.2">
      <c r="A591" s="221"/>
    </row>
    <row r="592" spans="1:1" x14ac:dyDescent="0.2">
      <c r="A592" s="221"/>
    </row>
    <row r="593" spans="1:1" x14ac:dyDescent="0.2">
      <c r="A593" s="221"/>
    </row>
    <row r="594" spans="1:1" x14ac:dyDescent="0.2">
      <c r="A594" s="221"/>
    </row>
    <row r="595" spans="1:1" x14ac:dyDescent="0.2">
      <c r="A595" s="221"/>
    </row>
    <row r="596" spans="1:1" x14ac:dyDescent="0.2">
      <c r="A596" s="221"/>
    </row>
    <row r="597" spans="1:1" x14ac:dyDescent="0.2">
      <c r="A597" s="221"/>
    </row>
    <row r="598" spans="1:1" x14ac:dyDescent="0.2">
      <c r="A598" s="221"/>
    </row>
    <row r="599" spans="1:1" x14ac:dyDescent="0.2">
      <c r="A599" s="221"/>
    </row>
    <row r="600" spans="1:1" x14ac:dyDescent="0.2">
      <c r="A600" s="221"/>
    </row>
    <row r="601" spans="1:1" x14ac:dyDescent="0.2">
      <c r="A601" s="221"/>
    </row>
    <row r="602" spans="1:1" x14ac:dyDescent="0.2">
      <c r="A602" s="221"/>
    </row>
    <row r="603" spans="1:1" x14ac:dyDescent="0.2">
      <c r="A603" s="221"/>
    </row>
    <row r="604" spans="1:1" x14ac:dyDescent="0.2">
      <c r="A604" s="221"/>
    </row>
    <row r="605" spans="1:1" x14ac:dyDescent="0.2">
      <c r="A605" s="221"/>
    </row>
    <row r="606" spans="1:1" x14ac:dyDescent="0.2">
      <c r="A606" s="221"/>
    </row>
    <row r="607" spans="1:1" x14ac:dyDescent="0.2">
      <c r="A607" s="221"/>
    </row>
    <row r="608" spans="1:1" x14ac:dyDescent="0.2">
      <c r="A608" s="221"/>
    </row>
    <row r="609" spans="1:1" x14ac:dyDescent="0.2">
      <c r="A609" s="221"/>
    </row>
    <row r="610" spans="1:1" x14ac:dyDescent="0.2">
      <c r="A610" s="221"/>
    </row>
    <row r="611" spans="1:1" x14ac:dyDescent="0.2">
      <c r="A611" s="221"/>
    </row>
    <row r="612" spans="1:1" x14ac:dyDescent="0.2">
      <c r="A612" s="221"/>
    </row>
    <row r="613" spans="1:1" x14ac:dyDescent="0.2">
      <c r="A613" s="221"/>
    </row>
    <row r="614" spans="1:1" x14ac:dyDescent="0.2">
      <c r="A614" s="221"/>
    </row>
    <row r="615" spans="1:1" x14ac:dyDescent="0.2">
      <c r="A615" s="221"/>
    </row>
    <row r="616" spans="1:1" x14ac:dyDescent="0.2">
      <c r="A616" s="221"/>
    </row>
    <row r="617" spans="1:1" x14ac:dyDescent="0.2">
      <c r="A617" s="221"/>
    </row>
    <row r="618" spans="1:1" x14ac:dyDescent="0.2">
      <c r="A618" s="221"/>
    </row>
    <row r="619" spans="1:1" x14ac:dyDescent="0.2">
      <c r="A619" s="221"/>
    </row>
    <row r="620" spans="1:1" x14ac:dyDescent="0.2">
      <c r="A620" s="221"/>
    </row>
    <row r="621" spans="1:1" x14ac:dyDescent="0.2">
      <c r="A621" s="221"/>
    </row>
    <row r="622" spans="1:1" x14ac:dyDescent="0.2">
      <c r="A622" s="221"/>
    </row>
    <row r="623" spans="1:1" x14ac:dyDescent="0.2">
      <c r="A623" s="221"/>
    </row>
    <row r="624" spans="1:1" x14ac:dyDescent="0.2">
      <c r="A624" s="221"/>
    </row>
    <row r="625" spans="1:1" x14ac:dyDescent="0.2">
      <c r="A625" s="221"/>
    </row>
    <row r="626" spans="1:1" x14ac:dyDescent="0.2">
      <c r="A626" s="221"/>
    </row>
    <row r="627" spans="1:1" x14ac:dyDescent="0.2">
      <c r="A627" s="221"/>
    </row>
    <row r="628" spans="1:1" x14ac:dyDescent="0.2">
      <c r="A628" s="221"/>
    </row>
    <row r="629" spans="1:1" x14ac:dyDescent="0.2">
      <c r="A629" s="221"/>
    </row>
    <row r="630" spans="1:1" x14ac:dyDescent="0.2">
      <c r="A630" s="221"/>
    </row>
    <row r="631" spans="1:1" x14ac:dyDescent="0.2">
      <c r="A631" s="221"/>
    </row>
    <row r="632" spans="1:1" x14ac:dyDescent="0.2">
      <c r="A632" s="221"/>
    </row>
    <row r="633" spans="1:1" x14ac:dyDescent="0.2">
      <c r="A633" s="221"/>
    </row>
    <row r="634" spans="1:1" x14ac:dyDescent="0.2">
      <c r="A634" s="221"/>
    </row>
    <row r="635" spans="1:1" x14ac:dyDescent="0.2">
      <c r="A635" s="221"/>
    </row>
    <row r="636" spans="1:1" x14ac:dyDescent="0.2">
      <c r="A636" s="221"/>
    </row>
    <row r="637" spans="1:1" x14ac:dyDescent="0.2">
      <c r="A637" s="221"/>
    </row>
    <row r="638" spans="1:1" x14ac:dyDescent="0.2">
      <c r="A638" s="221"/>
    </row>
    <row r="639" spans="1:1" x14ac:dyDescent="0.2">
      <c r="A639" s="221"/>
    </row>
    <row r="640" spans="1:1" x14ac:dyDescent="0.2">
      <c r="A640" s="221"/>
    </row>
    <row r="641" spans="1:1" x14ac:dyDescent="0.2">
      <c r="A641" s="221"/>
    </row>
    <row r="642" spans="1:1" x14ac:dyDescent="0.2">
      <c r="A642" s="221"/>
    </row>
    <row r="643" spans="1:1" x14ac:dyDescent="0.2">
      <c r="A643" s="221"/>
    </row>
    <row r="644" spans="1:1" x14ac:dyDescent="0.2">
      <c r="A644" s="221"/>
    </row>
    <row r="645" spans="1:1" x14ac:dyDescent="0.2">
      <c r="A645" s="221"/>
    </row>
    <row r="646" spans="1:1" x14ac:dyDescent="0.2">
      <c r="A646" s="221"/>
    </row>
    <row r="647" spans="1:1" x14ac:dyDescent="0.2">
      <c r="A647" s="221"/>
    </row>
    <row r="648" spans="1:1" x14ac:dyDescent="0.2">
      <c r="A648" s="221"/>
    </row>
    <row r="649" spans="1:1" x14ac:dyDescent="0.2">
      <c r="A649" s="221"/>
    </row>
    <row r="650" spans="1:1" x14ac:dyDescent="0.2">
      <c r="A650" s="221"/>
    </row>
    <row r="651" spans="1:1" x14ac:dyDescent="0.2">
      <c r="A651" s="221"/>
    </row>
    <row r="652" spans="1:1" x14ac:dyDescent="0.2">
      <c r="A652" s="221"/>
    </row>
    <row r="653" spans="1:1" x14ac:dyDescent="0.2">
      <c r="A653" s="221"/>
    </row>
    <row r="654" spans="1:1" x14ac:dyDescent="0.2">
      <c r="A654" s="221"/>
    </row>
    <row r="655" spans="1:1" x14ac:dyDescent="0.2">
      <c r="A655" s="221"/>
    </row>
    <row r="656" spans="1:1" x14ac:dyDescent="0.2">
      <c r="A656" s="221"/>
    </row>
    <row r="657" spans="1:1" x14ac:dyDescent="0.2">
      <c r="A657" s="221"/>
    </row>
    <row r="658" spans="1:1" x14ac:dyDescent="0.2">
      <c r="A658" s="221"/>
    </row>
    <row r="659" spans="1:1" x14ac:dyDescent="0.2">
      <c r="A659" s="221"/>
    </row>
    <row r="660" spans="1:1" x14ac:dyDescent="0.2">
      <c r="A660" s="221"/>
    </row>
    <row r="661" spans="1:1" x14ac:dyDescent="0.2">
      <c r="A661" s="221"/>
    </row>
    <row r="662" spans="1:1" x14ac:dyDescent="0.2">
      <c r="A662" s="221"/>
    </row>
    <row r="663" spans="1:1" x14ac:dyDescent="0.2">
      <c r="A663" s="221"/>
    </row>
    <row r="664" spans="1:1" x14ac:dyDescent="0.2">
      <c r="A664" s="221"/>
    </row>
    <row r="665" spans="1:1" x14ac:dyDescent="0.2">
      <c r="A665" s="221"/>
    </row>
    <row r="666" spans="1:1" x14ac:dyDescent="0.2">
      <c r="A666" s="221"/>
    </row>
    <row r="667" spans="1:1" x14ac:dyDescent="0.2">
      <c r="A667" s="221"/>
    </row>
    <row r="668" spans="1:1" x14ac:dyDescent="0.2">
      <c r="A668" s="221"/>
    </row>
    <row r="669" spans="1:1" x14ac:dyDescent="0.2">
      <c r="A669" s="221"/>
    </row>
    <row r="670" spans="1:1" x14ac:dyDescent="0.2">
      <c r="A670" s="221"/>
    </row>
    <row r="671" spans="1:1" x14ac:dyDescent="0.2">
      <c r="A671" s="221"/>
    </row>
    <row r="672" spans="1:1" x14ac:dyDescent="0.2">
      <c r="A672" s="221"/>
    </row>
    <row r="673" spans="1:1" x14ac:dyDescent="0.2">
      <c r="A673" s="221"/>
    </row>
    <row r="674" spans="1:1" x14ac:dyDescent="0.2">
      <c r="A674" s="221"/>
    </row>
    <row r="675" spans="1:1" x14ac:dyDescent="0.2">
      <c r="A675" s="221"/>
    </row>
    <row r="676" spans="1:1" x14ac:dyDescent="0.2">
      <c r="A676" s="221"/>
    </row>
    <row r="677" spans="1:1" x14ac:dyDescent="0.2">
      <c r="A677" s="221"/>
    </row>
    <row r="678" spans="1:1" x14ac:dyDescent="0.2">
      <c r="A678" s="221"/>
    </row>
    <row r="679" spans="1:1" x14ac:dyDescent="0.2">
      <c r="A679" s="221"/>
    </row>
    <row r="680" spans="1:1" x14ac:dyDescent="0.2">
      <c r="A680" s="221"/>
    </row>
    <row r="681" spans="1:1" x14ac:dyDescent="0.2">
      <c r="A681" s="221"/>
    </row>
    <row r="682" spans="1:1" x14ac:dyDescent="0.2">
      <c r="A682" s="221"/>
    </row>
    <row r="683" spans="1:1" x14ac:dyDescent="0.2">
      <c r="A683" s="221"/>
    </row>
    <row r="684" spans="1:1" x14ac:dyDescent="0.2">
      <c r="A684" s="221"/>
    </row>
    <row r="685" spans="1:1" x14ac:dyDescent="0.2">
      <c r="A685" s="221"/>
    </row>
    <row r="686" spans="1:1" x14ac:dyDescent="0.2">
      <c r="A686" s="221"/>
    </row>
    <row r="687" spans="1:1" x14ac:dyDescent="0.2">
      <c r="A687" s="221"/>
    </row>
    <row r="688" spans="1:1" x14ac:dyDescent="0.2">
      <c r="A688" s="221"/>
    </row>
    <row r="689" spans="1:1" x14ac:dyDescent="0.2">
      <c r="A689" s="221"/>
    </row>
    <row r="690" spans="1:1" x14ac:dyDescent="0.2">
      <c r="A690" s="221"/>
    </row>
    <row r="691" spans="1:1" x14ac:dyDescent="0.2">
      <c r="A691" s="221"/>
    </row>
    <row r="692" spans="1:1" x14ac:dyDescent="0.2">
      <c r="A692" s="221"/>
    </row>
    <row r="693" spans="1:1" x14ac:dyDescent="0.2">
      <c r="A693" s="221"/>
    </row>
    <row r="694" spans="1:1" x14ac:dyDescent="0.2">
      <c r="A694" s="221"/>
    </row>
    <row r="695" spans="1:1" x14ac:dyDescent="0.2">
      <c r="A695" s="221"/>
    </row>
    <row r="696" spans="1:1" x14ac:dyDescent="0.2">
      <c r="A696" s="221"/>
    </row>
    <row r="697" spans="1:1" x14ac:dyDescent="0.2">
      <c r="A697" s="221"/>
    </row>
    <row r="698" spans="1:1" x14ac:dyDescent="0.2">
      <c r="A698" s="221"/>
    </row>
  </sheetData>
  <mergeCells count="19">
    <mergeCell ref="P6:P7"/>
    <mergeCell ref="Q6:Q7"/>
    <mergeCell ref="R6:R7"/>
    <mergeCell ref="S6:S7"/>
    <mergeCell ref="T6:T7"/>
    <mergeCell ref="A38:H38"/>
    <mergeCell ref="I6:I7"/>
    <mergeCell ref="J6:J7"/>
    <mergeCell ref="K6:K7"/>
    <mergeCell ref="M6:M7"/>
    <mergeCell ref="N6:N7"/>
    <mergeCell ref="O6:O7"/>
    <mergeCell ref="A2:H2"/>
    <mergeCell ref="A4:H4"/>
    <mergeCell ref="B6:D7"/>
    <mergeCell ref="E6:E7"/>
    <mergeCell ref="F6:F7"/>
    <mergeCell ref="G6:G7"/>
    <mergeCell ref="H6:H7"/>
  </mergeCells>
  <printOptions horizontalCentered="1"/>
  <pageMargins left="0.27" right="0.16" top="0.17" bottom="0.26" header="0.28999999999999998" footer="0.17"/>
  <pageSetup scale="75" orientation="landscape" r:id="rId1"/>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411"/>
  <sheetViews>
    <sheetView zoomScale="80" zoomScaleNormal="80" workbookViewId="0">
      <pane xSplit="4" ySplit="7" topLeftCell="E8" activePane="bottomRight" state="frozen"/>
      <selection activeCell="N78" sqref="L75:N78"/>
      <selection pane="topRight" activeCell="N78" sqref="L75:N78"/>
      <selection pane="bottomLeft" activeCell="N78" sqref="L75:N78"/>
      <selection pane="bottomRight" activeCell="E8" sqref="E8"/>
    </sheetView>
  </sheetViews>
  <sheetFormatPr defaultColWidth="9.140625" defaultRowHeight="14.25" x14ac:dyDescent="0.2"/>
  <cols>
    <col min="1" max="1" width="4.140625" style="33" customWidth="1"/>
    <col min="2" max="2" width="5.42578125" style="14" customWidth="1"/>
    <col min="3" max="3" width="4.5703125" style="14" customWidth="1"/>
    <col min="4" max="4" width="48.7109375" style="3" customWidth="1"/>
    <col min="5" max="5" width="8.7109375" style="4" customWidth="1"/>
    <col min="6" max="6" width="12.7109375" style="4" customWidth="1"/>
    <col min="7" max="7" width="15.5703125" style="3" bestFit="1" customWidth="1"/>
    <col min="8" max="10" width="15.5703125" style="505" bestFit="1" customWidth="1"/>
    <col min="11" max="11" width="15.5703125" style="3" bestFit="1" customWidth="1"/>
    <col min="12" max="12" width="85.85546875" style="282" customWidth="1"/>
    <col min="13" max="13" width="9.140625" style="505"/>
    <col min="14" max="14" width="9.140625" style="3"/>
    <col min="15" max="15" width="13.42578125" style="3" customWidth="1"/>
    <col min="16" max="16384" width="9.140625" style="3"/>
  </cols>
  <sheetData>
    <row r="1" spans="1:16" ht="33.75" customHeight="1" x14ac:dyDescent="0.25">
      <c r="A1" s="334" t="s">
        <v>272</v>
      </c>
      <c r="B1" s="335"/>
      <c r="C1" s="335"/>
      <c r="D1" s="340" t="str">
        <f>'Startup Statement of Activities'!$D$1</f>
        <v>KIPP New Orleans</v>
      </c>
      <c r="E1" s="6" t="s">
        <v>33</v>
      </c>
      <c r="F1" s="6"/>
      <c r="G1" s="6"/>
      <c r="H1" s="6"/>
      <c r="I1" s="6"/>
      <c r="J1" s="6"/>
      <c r="K1" s="6"/>
      <c r="L1" s="273"/>
    </row>
    <row r="2" spans="1:16" ht="18" customHeight="1" x14ac:dyDescent="0.25">
      <c r="A2" s="9" t="s">
        <v>358</v>
      </c>
      <c r="B2" s="22"/>
      <c r="C2" s="22"/>
      <c r="D2" s="6"/>
      <c r="E2" s="6"/>
      <c r="F2" s="6"/>
      <c r="G2" s="6"/>
      <c r="H2" s="6"/>
      <c r="I2" s="6"/>
      <c r="J2" s="6"/>
      <c r="K2" s="6"/>
      <c r="L2" s="3"/>
    </row>
    <row r="3" spans="1:16" ht="18" customHeight="1" x14ac:dyDescent="0.25">
      <c r="A3" s="9"/>
      <c r="B3" s="22"/>
      <c r="C3" s="22"/>
      <c r="D3" s="6"/>
      <c r="E3" s="6"/>
      <c r="F3" s="6"/>
      <c r="G3" s="6"/>
      <c r="H3" s="6"/>
      <c r="I3" s="6"/>
      <c r="J3" s="6"/>
      <c r="K3" s="6"/>
      <c r="L3" s="3"/>
    </row>
    <row r="4" spans="1:16" ht="33" customHeight="1" x14ac:dyDescent="0.2">
      <c r="A4" s="668" t="s">
        <v>362</v>
      </c>
      <c r="B4" s="669"/>
      <c r="C4" s="669"/>
      <c r="D4" s="669"/>
      <c r="E4" s="669"/>
      <c r="F4" s="669"/>
      <c r="G4" s="669"/>
      <c r="H4" s="669"/>
      <c r="I4" s="669"/>
      <c r="J4" s="669"/>
      <c r="K4" s="669"/>
      <c r="L4" s="670"/>
    </row>
    <row r="5" spans="1:16" ht="18.75" customHeight="1" thickBot="1" x14ac:dyDescent="0.3">
      <c r="A5" s="28"/>
      <c r="B5" s="22"/>
      <c r="C5" s="22"/>
      <c r="D5" s="6"/>
      <c r="E5" s="6"/>
      <c r="F5" s="6"/>
      <c r="G5" s="6"/>
      <c r="H5" s="6"/>
      <c r="I5" s="6"/>
      <c r="J5" s="6"/>
      <c r="K5" s="6"/>
      <c r="L5" s="273"/>
      <c r="M5" s="673" t="s">
        <v>449</v>
      </c>
      <c r="N5" s="673"/>
      <c r="O5"/>
    </row>
    <row r="6" spans="1:16" s="2" customFormat="1" ht="15.75" customHeight="1" thickTop="1" x14ac:dyDescent="0.25">
      <c r="A6" s="29"/>
      <c r="B6" s="641" t="s">
        <v>239</v>
      </c>
      <c r="C6" s="642"/>
      <c r="D6" s="642"/>
      <c r="E6" s="644" t="s">
        <v>232</v>
      </c>
      <c r="F6" s="646" t="s">
        <v>233</v>
      </c>
      <c r="G6" s="671" t="s">
        <v>234</v>
      </c>
      <c r="H6" s="671" t="s">
        <v>235</v>
      </c>
      <c r="I6" s="671" t="s">
        <v>236</v>
      </c>
      <c r="J6" s="671" t="s">
        <v>237</v>
      </c>
      <c r="K6" s="671" t="s">
        <v>238</v>
      </c>
      <c r="L6" s="659" t="s">
        <v>315</v>
      </c>
      <c r="M6" s="666" t="s">
        <v>520</v>
      </c>
      <c r="N6" s="666" t="s">
        <v>451</v>
      </c>
      <c r="O6"/>
    </row>
    <row r="7" spans="1:16" s="41" customFormat="1" ht="15.75" thickBot="1" x14ac:dyDescent="0.3">
      <c r="A7" s="38"/>
      <c r="B7" s="655"/>
      <c r="C7" s="655"/>
      <c r="D7" s="655"/>
      <c r="E7" s="656"/>
      <c r="F7" s="674"/>
      <c r="G7" s="672" t="s">
        <v>235</v>
      </c>
      <c r="H7" s="672" t="s">
        <v>235</v>
      </c>
      <c r="I7" s="672" t="s">
        <v>235</v>
      </c>
      <c r="J7" s="672" t="s">
        <v>235</v>
      </c>
      <c r="K7" s="675" t="s">
        <v>238</v>
      </c>
      <c r="L7" s="660"/>
      <c r="M7" s="667"/>
      <c r="N7" s="667"/>
      <c r="O7"/>
    </row>
    <row r="8" spans="1:16" s="40" customFormat="1" ht="20.25" customHeight="1" thickTop="1" x14ac:dyDescent="0.25">
      <c r="A8" s="39"/>
      <c r="B8" s="42" t="s">
        <v>267</v>
      </c>
      <c r="E8" s="70"/>
      <c r="F8" s="71"/>
      <c r="G8" s="592"/>
      <c r="H8" s="593"/>
      <c r="I8" s="593"/>
      <c r="J8" s="593"/>
      <c r="K8" s="594"/>
      <c r="L8" s="274"/>
    </row>
    <row r="9" spans="1:16" ht="3" customHeight="1" x14ac:dyDescent="0.2">
      <c r="A9" s="30"/>
      <c r="B9" s="36"/>
      <c r="C9" s="13"/>
      <c r="D9" s="13"/>
      <c r="E9" s="72"/>
      <c r="F9" s="73"/>
      <c r="G9" s="521"/>
      <c r="H9" s="522"/>
      <c r="I9" s="522"/>
      <c r="J9" s="522"/>
      <c r="K9" s="595"/>
      <c r="L9" s="275"/>
    </row>
    <row r="10" spans="1:16" x14ac:dyDescent="0.2">
      <c r="A10" s="31"/>
      <c r="B10" s="26" t="s">
        <v>32</v>
      </c>
      <c r="C10" s="12"/>
      <c r="D10" s="12"/>
      <c r="E10" s="62"/>
      <c r="F10" s="63"/>
      <c r="G10" s="524"/>
      <c r="H10" s="525"/>
      <c r="I10" s="525"/>
      <c r="J10" s="525"/>
      <c r="K10" s="596"/>
      <c r="L10" s="276"/>
    </row>
    <row r="11" spans="1:16" x14ac:dyDescent="0.2">
      <c r="A11" s="211">
        <v>1</v>
      </c>
      <c r="B11" s="37"/>
      <c r="C11" s="10" t="s">
        <v>293</v>
      </c>
      <c r="D11" s="10"/>
      <c r="E11" s="19"/>
      <c r="F11" s="20" t="s">
        <v>277</v>
      </c>
      <c r="G11" s="527">
        <f>+'Yr 1 Operating Statement of Act'!G11</f>
        <v>1293250</v>
      </c>
      <c r="H11" s="527">
        <f>+'Yr 2 Operating Statement of Act'!G11</f>
        <v>2568292</v>
      </c>
      <c r="I11" s="527">
        <f>+'Yr 3 Operating Statement of Act'!G11</f>
        <v>3860642.75</v>
      </c>
      <c r="J11" s="527">
        <f>+'Yr 4 Operating Statement of Act'!G11</f>
        <v>5169613.3225562498</v>
      </c>
      <c r="K11" s="530">
        <f>+'KIPP Assumptions'!E6*'KIPP Assumptions'!E17*(1+'KIPP Assumptions'!F17)+'KIPP Assumptions'!E6*'KIPP Assumptions'!E19*(1+'KIPP Assumptions'!F19)</f>
        <v>5284308.4973137649</v>
      </c>
      <c r="L11" s="425" t="s">
        <v>517</v>
      </c>
      <c r="M11" s="354"/>
      <c r="O11" s="354"/>
      <c r="P11" s="354"/>
    </row>
    <row r="12" spans="1:16" x14ac:dyDescent="0.2">
      <c r="A12" s="211">
        <v>2</v>
      </c>
      <c r="B12" s="37"/>
      <c r="C12" s="10" t="s">
        <v>35</v>
      </c>
      <c r="D12" s="10"/>
      <c r="E12" s="19"/>
      <c r="F12" s="20" t="s">
        <v>216</v>
      </c>
      <c r="G12" s="527">
        <f>+'Yr 1 Operating Statement of Act'!G12</f>
        <v>0</v>
      </c>
      <c r="H12" s="551">
        <f>+'Yr 2 Operating Statement of Act'!G12</f>
        <v>0</v>
      </c>
      <c r="I12" s="551">
        <f>+'Yr 3 Operating Statement of Act'!G12</f>
        <v>0</v>
      </c>
      <c r="J12" s="551">
        <f>+'Yr 4 Operating Statement of Act'!G12</f>
        <v>0</v>
      </c>
      <c r="K12" s="530"/>
      <c r="L12" s="426"/>
      <c r="N12" s="354"/>
    </row>
    <row r="13" spans="1:16" x14ac:dyDescent="0.2">
      <c r="A13" s="211">
        <v>3</v>
      </c>
      <c r="B13" s="37"/>
      <c r="C13" s="10" t="s">
        <v>36</v>
      </c>
      <c r="D13" s="10"/>
      <c r="E13" s="19"/>
      <c r="F13" s="20" t="s">
        <v>217</v>
      </c>
      <c r="G13" s="527">
        <f>+'Yr 1 Operating Statement of Act'!G13</f>
        <v>0</v>
      </c>
      <c r="H13" s="551">
        <f>+'Yr 2 Operating Statement of Act'!G13</f>
        <v>0</v>
      </c>
      <c r="I13" s="551">
        <f>+'Yr 3 Operating Statement of Act'!G13</f>
        <v>0</v>
      </c>
      <c r="J13" s="551">
        <f>+'Yr 4 Operating Statement of Act'!G13</f>
        <v>0</v>
      </c>
      <c r="K13" s="530"/>
      <c r="L13" s="277"/>
    </row>
    <row r="14" spans="1:16" x14ac:dyDescent="0.2">
      <c r="A14" s="211">
        <v>4</v>
      </c>
      <c r="B14" s="37"/>
      <c r="C14" s="10" t="s">
        <v>37</v>
      </c>
      <c r="D14" s="10"/>
      <c r="E14" s="19"/>
      <c r="F14" s="20">
        <v>1800</v>
      </c>
      <c r="G14" s="527">
        <f>+'Yr 1 Operating Statement of Act'!G14</f>
        <v>0</v>
      </c>
      <c r="H14" s="551">
        <f>+'Yr 2 Operating Statement of Act'!G14</f>
        <v>0</v>
      </c>
      <c r="I14" s="551">
        <f>+'Yr 3 Operating Statement of Act'!G14</f>
        <v>0</v>
      </c>
      <c r="J14" s="551">
        <f>+'Yr 4 Operating Statement of Act'!G14</f>
        <v>0</v>
      </c>
      <c r="K14" s="530"/>
      <c r="L14" s="277"/>
    </row>
    <row r="15" spans="1:16" x14ac:dyDescent="0.2">
      <c r="A15" s="211"/>
      <c r="B15" s="37"/>
      <c r="C15" s="10" t="s">
        <v>38</v>
      </c>
      <c r="D15" s="10"/>
      <c r="E15" s="62"/>
      <c r="F15" s="63"/>
      <c r="G15" s="597"/>
      <c r="H15" s="549"/>
      <c r="I15" s="549"/>
      <c r="J15" s="549"/>
      <c r="K15" s="598"/>
      <c r="L15" s="276"/>
    </row>
    <row r="16" spans="1:16" x14ac:dyDescent="0.2">
      <c r="A16" s="211">
        <v>5</v>
      </c>
      <c r="B16" s="37"/>
      <c r="C16" s="10"/>
      <c r="D16" s="10" t="s">
        <v>39</v>
      </c>
      <c r="E16" s="19"/>
      <c r="F16" s="20" t="s">
        <v>40</v>
      </c>
      <c r="G16" s="527">
        <f>+'Yr 1 Operating Statement of Act'!G16</f>
        <v>285000</v>
      </c>
      <c r="H16" s="527">
        <f>+'Yr 2 Operating Statement of Act'!G16</f>
        <v>290700</v>
      </c>
      <c r="I16" s="527">
        <f>+'Yr 3 Operating Statement of Act'!G16</f>
        <v>296514</v>
      </c>
      <c r="J16" s="527">
        <f>+'Yr 4 Operating Statement of Act'!G16</f>
        <v>302444.28000000003</v>
      </c>
      <c r="K16" s="530">
        <f>+J16*(1+$M16)</f>
        <v>308493.16560000001</v>
      </c>
      <c r="L16" s="425"/>
      <c r="M16" s="427">
        <f>+'KIPP Assumptions'!$F$45</f>
        <v>0.02</v>
      </c>
    </row>
    <row r="17" spans="1:15" x14ac:dyDescent="0.2">
      <c r="A17" s="211">
        <v>6</v>
      </c>
      <c r="B17" s="37"/>
      <c r="C17" s="10"/>
      <c r="D17" s="10" t="s">
        <v>41</v>
      </c>
      <c r="E17" s="19"/>
      <c r="F17" s="20" t="s">
        <v>42</v>
      </c>
      <c r="G17" s="527">
        <f>+'Yr 1 Operating Statement of Act'!G17</f>
        <v>0</v>
      </c>
      <c r="H17" s="551">
        <f>+'Yr 2 Operating Statement of Act'!G17</f>
        <v>0</v>
      </c>
      <c r="I17" s="551">
        <f>+'Yr 3 Operating Statement of Act'!G17</f>
        <v>0</v>
      </c>
      <c r="J17" s="551">
        <f>+'Yr 4 Operating Statement of Act'!G17</f>
        <v>0</v>
      </c>
      <c r="K17" s="530"/>
      <c r="L17" s="277"/>
    </row>
    <row r="18" spans="1:15" x14ac:dyDescent="0.2">
      <c r="A18" s="211">
        <v>7</v>
      </c>
      <c r="B18" s="43"/>
      <c r="C18" s="44"/>
      <c r="D18" s="44" t="s">
        <v>255</v>
      </c>
      <c r="E18" s="23"/>
      <c r="F18" s="24" t="s">
        <v>218</v>
      </c>
      <c r="G18" s="527">
        <f>+'Yr 1 Operating Statement of Act'!G18</f>
        <v>0</v>
      </c>
      <c r="H18" s="558">
        <f>+'Yr 2 Operating Statement of Act'!G18</f>
        <v>0</v>
      </c>
      <c r="I18" s="558">
        <f>+'Yr 3 Operating Statement of Act'!G18</f>
        <v>0</v>
      </c>
      <c r="J18" s="558">
        <f>+'Yr 4 Operating Statement of Act'!G18</f>
        <v>0</v>
      </c>
      <c r="K18" s="599"/>
      <c r="L18" s="278"/>
    </row>
    <row r="19" spans="1:15" s="95" customFormat="1" ht="12.75" x14ac:dyDescent="0.2">
      <c r="A19" s="211">
        <v>8</v>
      </c>
      <c r="B19" s="92"/>
      <c r="C19" s="83" t="s">
        <v>17</v>
      </c>
      <c r="D19" s="83"/>
      <c r="E19" s="93"/>
      <c r="F19" s="94"/>
      <c r="G19" s="368"/>
      <c r="H19" s="369"/>
      <c r="I19" s="369"/>
      <c r="J19" s="369"/>
      <c r="K19" s="370"/>
      <c r="L19" s="272"/>
    </row>
    <row r="20" spans="1:15" x14ac:dyDescent="0.2">
      <c r="A20" s="211">
        <v>9</v>
      </c>
      <c r="B20" s="43"/>
      <c r="C20" s="44"/>
      <c r="D20" s="44"/>
      <c r="E20" s="23"/>
      <c r="F20" s="24"/>
      <c r="G20" s="600"/>
      <c r="H20" s="558"/>
      <c r="I20" s="558"/>
      <c r="J20" s="558"/>
      <c r="K20" s="599"/>
      <c r="L20" s="278"/>
    </row>
    <row r="21" spans="1:15" x14ac:dyDescent="0.2">
      <c r="A21" s="216">
        <v>10</v>
      </c>
      <c r="B21" s="48" t="s">
        <v>269</v>
      </c>
      <c r="C21" s="7"/>
      <c r="D21" s="49"/>
      <c r="E21" s="50"/>
      <c r="F21" s="51"/>
      <c r="G21" s="601">
        <f>SUM(G11:G20)</f>
        <v>1578250</v>
      </c>
      <c r="H21" s="601">
        <f>SUM(H11:H20)</f>
        <v>2858992</v>
      </c>
      <c r="I21" s="601">
        <f>SUM(I11:I20)</f>
        <v>4157156.75</v>
      </c>
      <c r="J21" s="601">
        <f>SUM(J11:J20)</f>
        <v>5472057.6025562501</v>
      </c>
      <c r="K21" s="602">
        <f>SUM(K11:K20)</f>
        <v>5592801.6629137648</v>
      </c>
      <c r="L21" s="279"/>
    </row>
    <row r="22" spans="1:15" x14ac:dyDescent="0.2">
      <c r="A22" s="219"/>
      <c r="B22" s="36"/>
      <c r="C22" s="13"/>
      <c r="D22" s="13"/>
      <c r="E22" s="72"/>
      <c r="F22" s="73"/>
      <c r="G22" s="603"/>
      <c r="H22" s="569"/>
      <c r="I22" s="569"/>
      <c r="J22" s="569"/>
      <c r="K22" s="604"/>
      <c r="L22" s="275"/>
    </row>
    <row r="23" spans="1:15" x14ac:dyDescent="0.2">
      <c r="A23" s="212"/>
      <c r="B23" s="26" t="s">
        <v>43</v>
      </c>
      <c r="C23" s="12"/>
      <c r="D23" s="12"/>
      <c r="E23" s="62"/>
      <c r="F23" s="63"/>
      <c r="G23" s="597"/>
      <c r="H23" s="549"/>
      <c r="I23" s="549"/>
      <c r="J23" s="549"/>
      <c r="K23" s="598"/>
      <c r="L23" s="276"/>
    </row>
    <row r="24" spans="1:15" x14ac:dyDescent="0.2">
      <c r="A24" s="211"/>
      <c r="B24" s="37"/>
      <c r="C24" s="10" t="s">
        <v>44</v>
      </c>
      <c r="D24" s="10"/>
      <c r="E24" s="62"/>
      <c r="F24" s="63"/>
      <c r="G24" s="597"/>
      <c r="H24" s="549"/>
      <c r="I24" s="549"/>
      <c r="J24" s="549"/>
      <c r="K24" s="598"/>
      <c r="L24" s="276"/>
    </row>
    <row r="25" spans="1:15" x14ac:dyDescent="0.2">
      <c r="A25" s="211">
        <v>11</v>
      </c>
      <c r="B25" s="37"/>
      <c r="C25" s="10"/>
      <c r="D25" s="10" t="s">
        <v>294</v>
      </c>
      <c r="E25" s="19"/>
      <c r="F25" s="20" t="s">
        <v>20</v>
      </c>
      <c r="G25" s="527">
        <f>+'Yr 1 Operating Statement of Act'!G25</f>
        <v>530946.5</v>
      </c>
      <c r="H25" s="527">
        <f>+'Yr 2 Operating Statement of Act'!G25</f>
        <v>1048128.3300000001</v>
      </c>
      <c r="I25" s="527">
        <f>+'Yr 3 Operating Statement of Act'!G25</f>
        <v>1598306.8403125</v>
      </c>
      <c r="J25" s="527">
        <f>+'Yr 4 Operating Statement of Act'!G25</f>
        <v>2108452.2379052811</v>
      </c>
      <c r="K25" s="530">
        <f>+'KIPP Assumptions'!E6*'KIPP Assumptions'!E18*(1+'KIPP Assumptions'!F18)+'KIPP Assumptions'!E6*'KIPP Assumptions'!E20*(1+'KIPP Assumptions'!F20)+'KIPP Assumptions'!E7*'KIPP Assumptions'!E21*(1+'KIPP Assumptions'!F21)+'KIPP Assumptions'!E8*'KIPP Assumptions'!E22*(1+'KIPP Assumptions'!F22)+'KIPP Assumptions'!E9*'KIPP Assumptions'!E23*(1+'KIPP Assumptions'!F23)+'KIPP Assumptions'!E10*'KIPP Assumptions'!E24*(1+'KIPP Assumptions'!F24)+'KIPP Assumptions'!E11*'KIPP Assumptions'!E25*(1+'KIPP Assumptions'!F25)+'KIPP Assumptions'!E12*'KIPP Assumptions'!E26*(1+'KIPP Assumptions'!F26)+'KIPP Assumptions'!E13*'KIPP Assumptions'!E27*(1+'KIPP Assumptions'!F27)+'KIPP Assumptions'!E14*'KIPP Assumptions'!E28*(1+'KIPP Assumptions'!F28)</f>
        <v>2145097.78400815</v>
      </c>
      <c r="L25" s="425" t="s">
        <v>517</v>
      </c>
      <c r="M25" s="427"/>
      <c r="O25" s="354"/>
    </row>
    <row r="26" spans="1:15" x14ac:dyDescent="0.2">
      <c r="A26" s="211">
        <v>12</v>
      </c>
      <c r="B26" s="37"/>
      <c r="C26" s="10"/>
      <c r="D26" s="10" t="s">
        <v>45</v>
      </c>
      <c r="E26" s="19"/>
      <c r="F26" s="20" t="s">
        <v>46</v>
      </c>
      <c r="G26" s="527">
        <f>+'Yr 1 Operating Statement of Act'!G26</f>
        <v>50000</v>
      </c>
      <c r="H26" s="527">
        <f>+'Yr 2 Operating Statement of Act'!G26</f>
        <v>51000</v>
      </c>
      <c r="I26" s="527">
        <f>+'Yr 3 Operating Statement of Act'!G26</f>
        <v>52020</v>
      </c>
      <c r="J26" s="527">
        <f>+'Yr 4 Operating Statement of Act'!G26</f>
        <v>53060.4</v>
      </c>
      <c r="K26" s="530">
        <f>+J26*(1+$M26)</f>
        <v>54121.608</v>
      </c>
      <c r="L26" s="425"/>
      <c r="M26" s="427">
        <f>+'KIPP Assumptions'!$F$41</f>
        <v>0.02</v>
      </c>
    </row>
    <row r="27" spans="1:15" x14ac:dyDescent="0.2">
      <c r="A27" s="211"/>
      <c r="B27" s="37"/>
      <c r="C27" s="10" t="s">
        <v>47</v>
      </c>
      <c r="D27" s="10"/>
      <c r="E27" s="62"/>
      <c r="F27" s="63"/>
      <c r="G27" s="597"/>
      <c r="H27" s="549"/>
      <c r="I27" s="549"/>
      <c r="J27" s="549"/>
      <c r="K27" s="598"/>
      <c r="L27" s="276"/>
    </row>
    <row r="28" spans="1:15" x14ac:dyDescent="0.2">
      <c r="A28" s="211">
        <v>13</v>
      </c>
      <c r="B28" s="37"/>
      <c r="C28" s="10"/>
      <c r="D28" s="10" t="s">
        <v>48</v>
      </c>
      <c r="E28" s="19"/>
      <c r="F28" s="20" t="s">
        <v>49</v>
      </c>
      <c r="G28" s="527">
        <f>+'Yr 1 Operating Statement of Act'!G28</f>
        <v>0</v>
      </c>
      <c r="H28" s="551">
        <f>+'Yr 2 Operating Statement of Act'!G28</f>
        <v>0</v>
      </c>
      <c r="I28" s="551">
        <f>+'Yr 3 Operating Statement of Act'!G28</f>
        <v>0</v>
      </c>
      <c r="J28" s="551">
        <f>+'Yr 4 Operating Statement of Act'!G28</f>
        <v>0</v>
      </c>
      <c r="K28" s="530"/>
      <c r="L28" s="277"/>
    </row>
    <row r="29" spans="1:15" x14ac:dyDescent="0.2">
      <c r="A29" s="211">
        <v>14</v>
      </c>
      <c r="B29" s="37"/>
      <c r="C29" s="10"/>
      <c r="D29" s="10" t="s">
        <v>50</v>
      </c>
      <c r="E29" s="19"/>
      <c r="F29" s="20" t="s">
        <v>51</v>
      </c>
      <c r="G29" s="527">
        <f>+'Yr 1 Operating Statement of Act'!G29</f>
        <v>0</v>
      </c>
      <c r="H29" s="551">
        <f>+'Yr 2 Operating Statement of Act'!G29</f>
        <v>0</v>
      </c>
      <c r="I29" s="551">
        <f>+'Yr 3 Operating Statement of Act'!G29</f>
        <v>0</v>
      </c>
      <c r="J29" s="551">
        <f>+'Yr 4 Operating Statement of Act'!G29</f>
        <v>0</v>
      </c>
      <c r="K29" s="530"/>
      <c r="L29" s="277"/>
    </row>
    <row r="30" spans="1:15" x14ac:dyDescent="0.2">
      <c r="A30" s="211">
        <v>15</v>
      </c>
      <c r="B30" s="43"/>
      <c r="C30" s="44"/>
      <c r="D30" s="44" t="s">
        <v>52</v>
      </c>
      <c r="E30" s="23"/>
      <c r="F30" s="24" t="s">
        <v>53</v>
      </c>
      <c r="G30" s="527">
        <f>+'Yr 1 Operating Statement of Act'!G30</f>
        <v>92000</v>
      </c>
      <c r="H30" s="527">
        <f>+'Yr 2 Operating Statement of Act'!G30</f>
        <v>93840</v>
      </c>
      <c r="I30" s="527">
        <f>+'Yr 3 Operating Statement of Act'!G30</f>
        <v>95716.800000000003</v>
      </c>
      <c r="J30" s="527">
        <f>+'Yr 4 Operating Statement of Act'!G30</f>
        <v>97631.135999999999</v>
      </c>
      <c r="K30" s="530">
        <f>+J30*(1+$M30)</f>
        <v>99583.758719999998</v>
      </c>
      <c r="L30" s="425"/>
      <c r="M30" s="427">
        <f>+'KIPP Assumptions'!$F$39</f>
        <v>0.02</v>
      </c>
    </row>
    <row r="31" spans="1:15" s="95" customFormat="1" ht="12.75" x14ac:dyDescent="0.2">
      <c r="A31" s="211">
        <v>16</v>
      </c>
      <c r="B31" s="92"/>
      <c r="C31" s="83" t="s">
        <v>17</v>
      </c>
      <c r="D31" s="83"/>
      <c r="E31" s="93"/>
      <c r="F31" s="94"/>
      <c r="G31" s="368"/>
      <c r="H31" s="369"/>
      <c r="I31" s="369"/>
      <c r="J31" s="369"/>
      <c r="K31" s="370"/>
      <c r="L31" s="272"/>
    </row>
    <row r="32" spans="1:15" x14ac:dyDescent="0.2">
      <c r="A32" s="211">
        <v>17</v>
      </c>
      <c r="B32" s="43"/>
      <c r="C32" s="44"/>
      <c r="D32" s="44"/>
      <c r="E32" s="23"/>
      <c r="F32" s="24"/>
      <c r="G32" s="600"/>
      <c r="H32" s="558"/>
      <c r="I32" s="558"/>
      <c r="J32" s="558"/>
      <c r="K32" s="599"/>
      <c r="L32" s="278"/>
    </row>
    <row r="33" spans="1:13" ht="15" thickBot="1" x14ac:dyDescent="0.25">
      <c r="A33" s="216">
        <v>18</v>
      </c>
      <c r="B33" s="48" t="s">
        <v>270</v>
      </c>
      <c r="C33" s="7"/>
      <c r="D33" s="7"/>
      <c r="E33" s="50"/>
      <c r="F33" s="51"/>
      <c r="G33" s="601">
        <f>SUM(G25:G32)</f>
        <v>672946.5</v>
      </c>
      <c r="H33" s="601">
        <f>SUM(H25:H32)</f>
        <v>1192968.33</v>
      </c>
      <c r="I33" s="601">
        <f>SUM(I25:I32)</f>
        <v>1746043.6403125001</v>
      </c>
      <c r="J33" s="601">
        <f>SUM(J25:J32)</f>
        <v>2259143.773905281</v>
      </c>
      <c r="K33" s="602">
        <f>SUM(K25:K32)</f>
        <v>2298803.1507281498</v>
      </c>
      <c r="L33" s="280"/>
    </row>
    <row r="34" spans="1:13" s="102" customFormat="1" ht="15" thickTop="1" x14ac:dyDescent="0.2">
      <c r="A34" s="234"/>
      <c r="E34" s="103"/>
      <c r="F34" s="103"/>
      <c r="L34" s="281"/>
    </row>
    <row r="35" spans="1:13" s="102" customFormat="1" x14ac:dyDescent="0.2">
      <c r="A35" s="101"/>
      <c r="E35" s="103"/>
      <c r="F35" s="103"/>
      <c r="L35" s="281"/>
    </row>
    <row r="36" spans="1:13" s="102" customFormat="1" x14ac:dyDescent="0.2">
      <c r="A36" s="101"/>
      <c r="E36" s="103"/>
      <c r="F36" s="103"/>
      <c r="L36" s="281"/>
    </row>
    <row r="37" spans="1:13" s="102" customFormat="1" x14ac:dyDescent="0.2">
      <c r="A37" s="101"/>
      <c r="E37" s="103"/>
      <c r="F37" s="103"/>
      <c r="L37" s="281"/>
    </row>
    <row r="38" spans="1:13" s="102" customFormat="1" ht="42" customHeight="1" x14ac:dyDescent="0.2">
      <c r="A38" s="654" t="s">
        <v>10</v>
      </c>
      <c r="B38" s="654"/>
      <c r="C38" s="654"/>
      <c r="D38" s="654"/>
      <c r="E38" s="654"/>
      <c r="F38" s="654"/>
      <c r="G38" s="654"/>
      <c r="H38" s="654"/>
      <c r="I38" s="654"/>
      <c r="J38" s="654"/>
      <c r="K38" s="654"/>
      <c r="L38" s="654"/>
    </row>
    <row r="39" spans="1:13" s="102" customFormat="1" x14ac:dyDescent="0.2">
      <c r="A39" s="101"/>
      <c r="E39" s="103"/>
      <c r="F39" s="103"/>
      <c r="L39" s="281"/>
    </row>
    <row r="40" spans="1:13" s="102" customFormat="1" ht="15" thickBot="1" x14ac:dyDescent="0.25">
      <c r="A40" s="101"/>
      <c r="E40" s="103"/>
      <c r="F40" s="103"/>
      <c r="L40" s="281"/>
    </row>
    <row r="41" spans="1:13" ht="15" thickTop="1" x14ac:dyDescent="0.2">
      <c r="A41" s="34"/>
      <c r="B41" s="27" t="s">
        <v>54</v>
      </c>
      <c r="C41" s="25"/>
      <c r="D41" s="25"/>
      <c r="E41" s="72"/>
      <c r="F41" s="73"/>
      <c r="G41" s="521"/>
      <c r="H41" s="522"/>
      <c r="I41" s="522"/>
      <c r="J41" s="522"/>
      <c r="K41" s="523"/>
      <c r="L41" s="297"/>
    </row>
    <row r="42" spans="1:13" x14ac:dyDescent="0.2">
      <c r="A42" s="32"/>
      <c r="B42" s="37"/>
      <c r="C42" s="10" t="s">
        <v>256</v>
      </c>
      <c r="D42" s="10"/>
      <c r="E42" s="62"/>
      <c r="F42" s="63"/>
      <c r="G42" s="524"/>
      <c r="H42" s="525"/>
      <c r="I42" s="525"/>
      <c r="J42" s="525"/>
      <c r="K42" s="526"/>
      <c r="L42" s="267"/>
    </row>
    <row r="43" spans="1:13" x14ac:dyDescent="0.2">
      <c r="A43" s="211">
        <v>19</v>
      </c>
      <c r="B43" s="37"/>
      <c r="C43" s="10"/>
      <c r="D43" s="10" t="s">
        <v>55</v>
      </c>
      <c r="E43" s="19"/>
      <c r="F43" s="20" t="s">
        <v>56</v>
      </c>
      <c r="G43" s="527">
        <f>+'Yr 1 Operating Statement of Act'!G43</f>
        <v>0</v>
      </c>
      <c r="H43" s="528">
        <f>+'Yr 2 Operating Statement of Act'!G43</f>
        <v>0</v>
      </c>
      <c r="I43" s="528">
        <f>+'Yr 3 Operating Statement of Act'!G43</f>
        <v>0</v>
      </c>
      <c r="J43" s="528">
        <f>+'Yr 4 Operating Statement of Act'!G43</f>
        <v>0</v>
      </c>
      <c r="K43" s="529"/>
      <c r="L43" s="268"/>
    </row>
    <row r="44" spans="1:13" x14ac:dyDescent="0.2">
      <c r="A44" s="211"/>
      <c r="B44" s="37"/>
      <c r="C44" s="10" t="s">
        <v>257</v>
      </c>
      <c r="D44" s="10"/>
      <c r="E44" s="62"/>
      <c r="F44" s="63"/>
      <c r="G44" s="524"/>
      <c r="H44" s="525"/>
      <c r="I44" s="525"/>
      <c r="J44" s="525"/>
      <c r="K44" s="526"/>
      <c r="L44" s="267"/>
    </row>
    <row r="45" spans="1:13" x14ac:dyDescent="0.2">
      <c r="A45" s="211">
        <v>20</v>
      </c>
      <c r="B45" s="37"/>
      <c r="C45" s="10"/>
      <c r="D45" s="10" t="s">
        <v>57</v>
      </c>
      <c r="E45" s="19"/>
      <c r="F45" s="20" t="s">
        <v>58</v>
      </c>
      <c r="G45" s="527">
        <f>+'Yr 1 Operating Statement of Act'!G45</f>
        <v>0</v>
      </c>
      <c r="H45" s="528">
        <f>+'Yr 2 Operating Statement of Act'!G45</f>
        <v>0</v>
      </c>
      <c r="I45" s="528">
        <f>+'Yr 3 Operating Statement of Act'!G45</f>
        <v>0</v>
      </c>
      <c r="J45" s="528">
        <f>+'Yr 4 Operating Statement of Act'!G45</f>
        <v>0</v>
      </c>
      <c r="K45" s="529"/>
      <c r="L45" s="268"/>
    </row>
    <row r="46" spans="1:13" x14ac:dyDescent="0.2">
      <c r="A46" s="211"/>
      <c r="B46" s="37"/>
      <c r="C46" s="10" t="s">
        <v>21</v>
      </c>
      <c r="D46" s="10"/>
      <c r="E46" s="62"/>
      <c r="F46" s="63"/>
      <c r="G46" s="524"/>
      <c r="H46" s="525"/>
      <c r="I46" s="525"/>
      <c r="J46" s="525"/>
      <c r="K46" s="526"/>
      <c r="L46" s="267"/>
    </row>
    <row r="47" spans="1:13" x14ac:dyDescent="0.2">
      <c r="A47" s="211">
        <v>21</v>
      </c>
      <c r="B47" s="37"/>
      <c r="C47" s="10"/>
      <c r="D47" s="10" t="s">
        <v>59</v>
      </c>
      <c r="E47" s="19"/>
      <c r="F47" s="20" t="s">
        <v>60</v>
      </c>
      <c r="G47" s="527">
        <f>+'Yr 1 Operating Statement of Act'!G47</f>
        <v>106600</v>
      </c>
      <c r="H47" s="527">
        <f>+'Yr 2 Operating Statement of Act'!G47</f>
        <v>213300</v>
      </c>
      <c r="I47" s="527">
        <f>+'Yr 3 Operating Statement of Act'!G47</f>
        <v>313600</v>
      </c>
      <c r="J47" s="527">
        <f>+'Yr 4 Operating Statement of Act'!G47</f>
        <v>410800</v>
      </c>
      <c r="K47" s="530">
        <f>+J47*(1+$M47)</f>
        <v>423124</v>
      </c>
      <c r="L47" s="425"/>
      <c r="M47" s="427">
        <f>+'KIPP Assumptions'!$F$57</f>
        <v>0.03</v>
      </c>
    </row>
    <row r="48" spans="1:13" x14ac:dyDescent="0.2">
      <c r="A48" s="211"/>
      <c r="B48" s="37"/>
      <c r="C48" s="10"/>
      <c r="D48" s="10" t="s">
        <v>61</v>
      </c>
      <c r="E48" s="62"/>
      <c r="F48" s="63"/>
      <c r="G48" s="524"/>
      <c r="H48" s="525"/>
      <c r="I48" s="525"/>
      <c r="J48" s="525"/>
      <c r="K48" s="526"/>
      <c r="L48" s="267"/>
    </row>
    <row r="49" spans="1:15" x14ac:dyDescent="0.2">
      <c r="A49" s="211">
        <v>22</v>
      </c>
      <c r="B49" s="37"/>
      <c r="C49" s="10"/>
      <c r="D49" s="10" t="s">
        <v>258</v>
      </c>
      <c r="E49" s="19"/>
      <c r="F49" s="20" t="s">
        <v>62</v>
      </c>
      <c r="G49" s="527">
        <f>+'Yr 1 Operating Statement of Act'!G49</f>
        <v>120000</v>
      </c>
      <c r="H49" s="527">
        <f>+'Yr 2 Operating Statement of Act'!G49</f>
        <v>122400</v>
      </c>
      <c r="I49" s="527">
        <f>+'Yr 3 Operating Statement of Act'!G49</f>
        <v>124848</v>
      </c>
      <c r="J49" s="527">
        <f>+'Yr 4 Operating Statement of Act'!G49</f>
        <v>127344.96000000001</v>
      </c>
      <c r="K49" s="530">
        <f>+J49*(1+$M49)</f>
        <v>129891.85920000001</v>
      </c>
      <c r="L49" s="425"/>
      <c r="M49" s="427">
        <f>+'KIPP Assumptions'!$F$35</f>
        <v>0.02</v>
      </c>
    </row>
    <row r="50" spans="1:15" x14ac:dyDescent="0.2">
      <c r="A50" s="211">
        <v>23</v>
      </c>
      <c r="B50" s="37"/>
      <c r="C50" s="10"/>
      <c r="D50" s="10" t="s">
        <v>259</v>
      </c>
      <c r="E50" s="19"/>
      <c r="F50" s="20" t="s">
        <v>63</v>
      </c>
      <c r="G50" s="527">
        <f>+'Yr 1 Operating Statement of Act'!G50</f>
        <v>0</v>
      </c>
      <c r="H50" s="527">
        <f>+'Yr 2 Operating Statement of Act'!G50</f>
        <v>0</v>
      </c>
      <c r="I50" s="527">
        <f>+'Yr 3 Operating Statement of Act'!G50</f>
        <v>0</v>
      </c>
      <c r="J50" s="527">
        <f>+'Yr 4 Operating Statement of Act'!G50</f>
        <v>0</v>
      </c>
      <c r="K50" s="530">
        <f>+J50*(1+$M50)</f>
        <v>0</v>
      </c>
      <c r="L50" s="425"/>
      <c r="M50" s="427">
        <f>+'KIPP Assumptions'!$F$36</f>
        <v>0.02</v>
      </c>
    </row>
    <row r="51" spans="1:15" x14ac:dyDescent="0.2">
      <c r="A51" s="211">
        <v>24</v>
      </c>
      <c r="B51" s="37"/>
      <c r="C51" s="10"/>
      <c r="D51" s="10" t="s">
        <v>260</v>
      </c>
      <c r="E51" s="19"/>
      <c r="F51" s="20" t="s">
        <v>64</v>
      </c>
      <c r="G51" s="527">
        <f>+'Yr 1 Operating Statement of Act'!G51</f>
        <v>0</v>
      </c>
      <c r="H51" s="528">
        <f>+'Yr 2 Operating Statement of Act'!G51</f>
        <v>0</v>
      </c>
      <c r="I51" s="528">
        <f>+'Yr 3 Operating Statement of Act'!G51</f>
        <v>0</v>
      </c>
      <c r="J51" s="528">
        <f>+'Yr 4 Operating Statement of Act'!G51</f>
        <v>0</v>
      </c>
      <c r="K51" s="529"/>
      <c r="L51" s="268"/>
    </row>
    <row r="52" spans="1:15" x14ac:dyDescent="0.2">
      <c r="A52" s="211"/>
      <c r="B52" s="37"/>
      <c r="C52" s="10"/>
      <c r="D52" s="10" t="s">
        <v>278</v>
      </c>
      <c r="E52" s="62"/>
      <c r="F52" s="63"/>
      <c r="G52" s="524"/>
      <c r="H52" s="525"/>
      <c r="I52" s="525"/>
      <c r="J52" s="525"/>
      <c r="K52" s="526"/>
      <c r="L52" s="267"/>
    </row>
    <row r="53" spans="1:15" x14ac:dyDescent="0.2">
      <c r="A53" s="211">
        <v>25</v>
      </c>
      <c r="B53" s="37"/>
      <c r="C53" s="10"/>
      <c r="D53" s="10" t="s">
        <v>261</v>
      </c>
      <c r="E53" s="19"/>
      <c r="F53" s="20" t="s">
        <v>65</v>
      </c>
      <c r="G53" s="527">
        <f>+'Yr 1 Operating Statement of Act'!G53</f>
        <v>314000</v>
      </c>
      <c r="H53" s="527">
        <f>+'Yr 2 Operating Statement of Act'!G53</f>
        <v>329700</v>
      </c>
      <c r="I53" s="527">
        <f>+'Yr 3 Operating Statement of Act'!G53</f>
        <v>346185</v>
      </c>
      <c r="J53" s="527">
        <f>+'Yr 4 Operating Statement of Act'!G53</f>
        <v>363494.25</v>
      </c>
      <c r="K53" s="530">
        <f>+J53*(1+$M53)</f>
        <v>381668.96250000002</v>
      </c>
      <c r="L53" s="425"/>
      <c r="M53" s="427">
        <f>+'KIPP Assumptions'!$F$31</f>
        <v>0.05</v>
      </c>
    </row>
    <row r="54" spans="1:15" x14ac:dyDescent="0.2">
      <c r="A54" s="211">
        <v>26</v>
      </c>
      <c r="B54" s="37"/>
      <c r="C54" s="10"/>
      <c r="D54" s="10" t="s">
        <v>262</v>
      </c>
      <c r="E54" s="19"/>
      <c r="F54" s="20" t="s">
        <v>66</v>
      </c>
      <c r="G54" s="527">
        <f>+'Yr 1 Operating Statement of Act'!G54</f>
        <v>0</v>
      </c>
      <c r="H54" s="528">
        <f>+'Yr 2 Operating Statement of Act'!G54</f>
        <v>0</v>
      </c>
      <c r="I54" s="528">
        <f>+'Yr 3 Operating Statement of Act'!G54</f>
        <v>0</v>
      </c>
      <c r="J54" s="528">
        <f>+'Yr 4 Operating Statement of Act'!G54</f>
        <v>0</v>
      </c>
      <c r="K54" s="529"/>
      <c r="L54" s="268"/>
    </row>
    <row r="55" spans="1:15" x14ac:dyDescent="0.2">
      <c r="A55" s="211">
        <v>27</v>
      </c>
      <c r="B55" s="37"/>
      <c r="C55" s="10"/>
      <c r="D55" s="10" t="s">
        <v>279</v>
      </c>
      <c r="E55" s="19"/>
      <c r="F55" s="20" t="s">
        <v>67</v>
      </c>
      <c r="G55" s="527">
        <f>+'Yr 1 Operating Statement of Act'!G55</f>
        <v>0</v>
      </c>
      <c r="H55" s="528">
        <f>+'Yr 2 Operating Statement of Act'!G55</f>
        <v>0</v>
      </c>
      <c r="I55" s="528">
        <f>+'Yr 3 Operating Statement of Act'!G55</f>
        <v>0</v>
      </c>
      <c r="J55" s="528">
        <f>+'Yr 4 Operating Statement of Act'!G55</f>
        <v>0</v>
      </c>
      <c r="K55" s="529"/>
      <c r="L55" s="268"/>
    </row>
    <row r="56" spans="1:15" x14ac:dyDescent="0.2">
      <c r="A56" s="211">
        <v>28</v>
      </c>
      <c r="B56" s="37"/>
      <c r="C56" s="10"/>
      <c r="D56" s="10" t="s">
        <v>263</v>
      </c>
      <c r="E56" s="19"/>
      <c r="F56" s="20" t="s">
        <v>68</v>
      </c>
      <c r="G56" s="527">
        <f>+'Yr 1 Operating Statement of Act'!G56</f>
        <v>10000</v>
      </c>
      <c r="H56" s="527">
        <f>+'Yr 2 Operating Statement of Act'!G56</f>
        <v>10000</v>
      </c>
      <c r="I56" s="527">
        <f>+'Yr 3 Operating Statement of Act'!G56</f>
        <v>10000</v>
      </c>
      <c r="J56" s="527">
        <f>+'Yr 4 Operating Statement of Act'!G56</f>
        <v>10000</v>
      </c>
      <c r="K56" s="530">
        <f>+J56*(1+$M56)</f>
        <v>10000</v>
      </c>
      <c r="L56" s="425"/>
      <c r="M56" s="427">
        <f>+'KIPP Assumptions'!$F$34</f>
        <v>0</v>
      </c>
    </row>
    <row r="57" spans="1:15" x14ac:dyDescent="0.2">
      <c r="A57" s="211">
        <v>29</v>
      </c>
      <c r="B57" s="37"/>
      <c r="C57" s="10"/>
      <c r="D57" s="10" t="s">
        <v>280</v>
      </c>
      <c r="E57" s="19"/>
      <c r="F57" s="20" t="s">
        <v>69</v>
      </c>
      <c r="G57" s="527">
        <f>+'Yr 1 Operating Statement of Act'!G57</f>
        <v>33500</v>
      </c>
      <c r="H57" s="527">
        <f>+'Yr 2 Operating Statement of Act'!G57</f>
        <v>34170</v>
      </c>
      <c r="I57" s="527">
        <f>+'Yr 3 Operating Statement of Act'!G57</f>
        <v>34853.4</v>
      </c>
      <c r="J57" s="527">
        <f>+'Yr 4 Operating Statement of Act'!G57</f>
        <v>35550.468000000001</v>
      </c>
      <c r="K57" s="530">
        <f>+J57*(1+$M57)</f>
        <v>36261.477360000004</v>
      </c>
      <c r="L57" s="425"/>
      <c r="M57" s="427">
        <f>+'KIPP Assumptions'!$F$32</f>
        <v>0.02</v>
      </c>
    </row>
    <row r="58" spans="1:15" x14ac:dyDescent="0.2">
      <c r="A58" s="211">
        <v>30</v>
      </c>
      <c r="B58" s="37"/>
      <c r="C58" s="10"/>
      <c r="D58" s="10" t="s">
        <v>264</v>
      </c>
      <c r="E58" s="19"/>
      <c r="F58" s="20" t="s">
        <v>70</v>
      </c>
      <c r="G58" s="527">
        <f>+'Yr 1 Operating Statement of Act'!G58</f>
        <v>1500</v>
      </c>
      <c r="H58" s="527">
        <f>+'Yr 2 Operating Statement of Act'!G58</f>
        <v>1500</v>
      </c>
      <c r="I58" s="527">
        <f>+'Yr 3 Operating Statement of Act'!G58</f>
        <v>1500</v>
      </c>
      <c r="J58" s="527">
        <f>+'Yr 4 Operating Statement of Act'!G58</f>
        <v>1500</v>
      </c>
      <c r="K58" s="530">
        <f>+J58*(1+$M58)</f>
        <v>1500</v>
      </c>
      <c r="L58" s="425"/>
      <c r="M58" s="427">
        <f>+'KIPP Assumptions'!$F$33</f>
        <v>0</v>
      </c>
    </row>
    <row r="59" spans="1:15" x14ac:dyDescent="0.2">
      <c r="A59" s="211">
        <v>31</v>
      </c>
      <c r="B59" s="37"/>
      <c r="C59" s="10"/>
      <c r="D59" s="10" t="s">
        <v>71</v>
      </c>
      <c r="E59" s="19"/>
      <c r="F59" s="20" t="s">
        <v>72</v>
      </c>
      <c r="G59" s="527">
        <f>+'Yr 1 Operating Statement of Act'!G59</f>
        <v>0</v>
      </c>
      <c r="H59" s="528">
        <f>+'Yr 2 Operating Statement of Act'!G59</f>
        <v>0</v>
      </c>
      <c r="I59" s="528">
        <f>+'Yr 3 Operating Statement of Act'!G59</f>
        <v>0</v>
      </c>
      <c r="J59" s="528">
        <f>+'Yr 4 Operating Statement of Act'!G59</f>
        <v>0</v>
      </c>
      <c r="K59" s="529"/>
      <c r="L59" s="268"/>
    </row>
    <row r="60" spans="1:15" x14ac:dyDescent="0.2">
      <c r="A60" s="211"/>
      <c r="B60" s="37"/>
      <c r="C60" s="10" t="s">
        <v>73</v>
      </c>
      <c r="D60" s="10"/>
      <c r="E60" s="74"/>
      <c r="F60" s="75"/>
      <c r="G60" s="524"/>
      <c r="H60" s="525"/>
      <c r="I60" s="525"/>
      <c r="J60" s="525"/>
      <c r="K60" s="526"/>
      <c r="L60" s="298"/>
    </row>
    <row r="61" spans="1:15" x14ac:dyDescent="0.2">
      <c r="A61" s="211">
        <v>32</v>
      </c>
      <c r="B61" s="37"/>
      <c r="C61" s="10"/>
      <c r="D61" s="10" t="s">
        <v>74</v>
      </c>
      <c r="E61" s="19"/>
      <c r="F61" s="20" t="s">
        <v>75</v>
      </c>
      <c r="G61" s="527">
        <f>+'Yr 1 Operating Statement of Act'!G61</f>
        <v>25000</v>
      </c>
      <c r="H61" s="527">
        <f>+'Yr 2 Operating Statement of Act'!G61</f>
        <v>25000</v>
      </c>
      <c r="I61" s="527">
        <f>+'Yr 3 Operating Statement of Act'!G61</f>
        <v>25000</v>
      </c>
      <c r="J61" s="527">
        <f>+'Yr 4 Operating Statement of Act'!G61</f>
        <v>25000</v>
      </c>
      <c r="K61" s="530">
        <f>+J61*(1+$M61)</f>
        <v>25000</v>
      </c>
      <c r="L61" s="425"/>
      <c r="M61" s="427">
        <f>+'KIPP Assumptions'!$F$61</f>
        <v>0</v>
      </c>
    </row>
    <row r="62" spans="1:15" s="95" customFormat="1" ht="14.25" customHeight="1" x14ac:dyDescent="0.2">
      <c r="A62" s="211">
        <v>33</v>
      </c>
      <c r="B62" s="92"/>
      <c r="C62" s="83" t="s">
        <v>17</v>
      </c>
      <c r="D62" s="83"/>
      <c r="E62" s="93"/>
      <c r="F62" s="94"/>
      <c r="G62" s="141"/>
      <c r="H62" s="142"/>
      <c r="I62" s="142"/>
      <c r="J62" s="142"/>
      <c r="K62" s="145"/>
      <c r="L62" s="270"/>
    </row>
    <row r="63" spans="1:15" s="95" customFormat="1" ht="14.25" customHeight="1" x14ac:dyDescent="0.2">
      <c r="A63" s="211">
        <v>34</v>
      </c>
      <c r="B63" s="92"/>
      <c r="C63" s="83"/>
      <c r="D63" s="10" t="s">
        <v>463</v>
      </c>
      <c r="E63" s="93"/>
      <c r="F63" s="159" t="s">
        <v>464</v>
      </c>
      <c r="G63" s="303">
        <f>+'Yr 1 Operating Statement of Act'!G63</f>
        <v>0</v>
      </c>
      <c r="H63" s="527">
        <f>+'Yr 2 Operating Statement of Act'!G63</f>
        <v>0</v>
      </c>
      <c r="I63" s="527">
        <f>+'Yr 3 Operating Statement of Act'!G63</f>
        <v>0</v>
      </c>
      <c r="J63" s="527">
        <f>+'Yr 4 Operating Statement of Act'!G63</f>
        <v>0</v>
      </c>
      <c r="K63" s="530">
        <f>+J63*(1+$O63)</f>
        <v>0</v>
      </c>
      <c r="L63" s="270"/>
      <c r="M63" s="427"/>
      <c r="O63" s="354"/>
    </row>
    <row r="64" spans="1:15" x14ac:dyDescent="0.2">
      <c r="A64" s="211">
        <v>35</v>
      </c>
      <c r="B64" s="43"/>
      <c r="C64" s="44"/>
      <c r="D64" s="44"/>
      <c r="E64" s="23"/>
      <c r="F64" s="24"/>
      <c r="G64" s="531"/>
      <c r="H64" s="532"/>
      <c r="I64" s="532"/>
      <c r="J64" s="532"/>
      <c r="K64" s="533"/>
      <c r="L64" s="269"/>
    </row>
    <row r="65" spans="1:17" x14ac:dyDescent="0.2">
      <c r="A65" s="216">
        <v>36</v>
      </c>
      <c r="B65" s="48" t="s">
        <v>268</v>
      </c>
      <c r="C65" s="7"/>
      <c r="D65" s="7"/>
      <c r="E65" s="50"/>
      <c r="F65" s="51"/>
      <c r="G65" s="534">
        <f>SUM(G43:G64)</f>
        <v>610600</v>
      </c>
      <c r="H65" s="534">
        <f>SUM(H43:H64)</f>
        <v>736070</v>
      </c>
      <c r="I65" s="534">
        <f>SUM(I43:I64)</f>
        <v>855986.4</v>
      </c>
      <c r="J65" s="534">
        <f>SUM(J43:J64)</f>
        <v>973689.67799999996</v>
      </c>
      <c r="K65" s="535">
        <f>SUM(K43:K64)</f>
        <v>1007446.2990600001</v>
      </c>
      <c r="L65" s="271"/>
    </row>
    <row r="66" spans="1:17" x14ac:dyDescent="0.2">
      <c r="A66" s="211"/>
      <c r="B66" s="37"/>
      <c r="C66" s="10"/>
      <c r="D66" s="10"/>
      <c r="E66" s="62"/>
      <c r="F66" s="63"/>
      <c r="G66" s="524"/>
      <c r="H66" s="525"/>
      <c r="I66" s="525"/>
      <c r="J66" s="525"/>
      <c r="K66" s="526"/>
      <c r="L66" s="267"/>
    </row>
    <row r="67" spans="1:17" s="14" customFormat="1" x14ac:dyDescent="0.2">
      <c r="A67" s="218"/>
      <c r="B67" s="26" t="s">
        <v>284</v>
      </c>
      <c r="C67" s="12"/>
      <c r="D67" s="12"/>
      <c r="E67" s="62"/>
      <c r="F67" s="63"/>
      <c r="G67" s="524"/>
      <c r="H67" s="525"/>
      <c r="I67" s="525"/>
      <c r="J67" s="525"/>
      <c r="K67" s="526"/>
      <c r="L67" s="267"/>
    </row>
    <row r="68" spans="1:17" s="100" customFormat="1" x14ac:dyDescent="0.2">
      <c r="A68" s="219">
        <v>37</v>
      </c>
      <c r="B68" s="96"/>
      <c r="C68" s="97"/>
      <c r="D68" s="97"/>
      <c r="E68" s="98"/>
      <c r="F68" s="99" t="s">
        <v>252</v>
      </c>
      <c r="G68" s="527">
        <f>+'Yr 1 Operating Statement of Act'!G68</f>
        <v>0</v>
      </c>
      <c r="H68" s="536">
        <f>+'Yr 2 Operating Statement of Act'!G68</f>
        <v>0</v>
      </c>
      <c r="I68" s="536">
        <f>+'Yr 3 Operating Statement of Act'!G68</f>
        <v>0</v>
      </c>
      <c r="J68" s="536">
        <f>+'Yr 4 Operating Statement of Act'!G68</f>
        <v>0</v>
      </c>
      <c r="K68" s="537"/>
      <c r="L68" s="291"/>
    </row>
    <row r="69" spans="1:17" ht="15" thickBot="1" x14ac:dyDescent="0.25">
      <c r="A69" s="213">
        <v>38</v>
      </c>
      <c r="B69" s="43"/>
      <c r="C69" s="44"/>
      <c r="D69" s="44"/>
      <c r="E69" s="134"/>
      <c r="F69" s="135"/>
      <c r="G69" s="538"/>
      <c r="H69" s="539"/>
      <c r="I69" s="539"/>
      <c r="J69" s="539"/>
      <c r="K69" s="540"/>
      <c r="L69" s="299"/>
    </row>
    <row r="70" spans="1:17" ht="15" thickBot="1" x14ac:dyDescent="0.25">
      <c r="A70" s="220">
        <v>39</v>
      </c>
      <c r="B70" s="45" t="s">
        <v>271</v>
      </c>
      <c r="C70" s="8"/>
      <c r="D70" s="8"/>
      <c r="E70" s="46"/>
      <c r="F70" s="47"/>
      <c r="G70" s="541">
        <f>G21+G33+G65+G68+G69</f>
        <v>2861796.5</v>
      </c>
      <c r="H70" s="541">
        <f>H21+H33+H65+H68+H69</f>
        <v>4788030.33</v>
      </c>
      <c r="I70" s="541">
        <f>I21+I33+I65+I68+I69</f>
        <v>6759186.7903125007</v>
      </c>
      <c r="J70" s="541">
        <f>J21+J33+J65+J68+J69</f>
        <v>8704891.0544615313</v>
      </c>
      <c r="K70" s="542">
        <f>K21+K33+K65+K68+K69</f>
        <v>8899051.1127019152</v>
      </c>
      <c r="L70" s="287"/>
    </row>
    <row r="71" spans="1:17" x14ac:dyDescent="0.2">
      <c r="A71" s="221"/>
      <c r="G71" s="543"/>
      <c r="H71" s="544">
        <f>+H70/G70-1</f>
        <v>0.67308553560674222</v>
      </c>
      <c r="I71" s="544">
        <f>+I70/H70-1</f>
        <v>0.41168420508157078</v>
      </c>
      <c r="J71" s="544">
        <f t="shared" ref="J71:K71" si="0">+J70/I70-1</f>
        <v>0.28786070344108272</v>
      </c>
      <c r="K71" s="544">
        <f t="shared" si="0"/>
        <v>2.2304708585740407E-2</v>
      </c>
      <c r="L71" s="179"/>
    </row>
    <row r="72" spans="1:17" x14ac:dyDescent="0.2">
      <c r="A72" s="221"/>
      <c r="G72" s="543"/>
      <c r="H72" s="543"/>
      <c r="I72" s="543"/>
      <c r="J72" s="543"/>
      <c r="K72" s="543"/>
      <c r="L72" s="180"/>
    </row>
    <row r="73" spans="1:17" x14ac:dyDescent="0.2">
      <c r="A73" s="221"/>
      <c r="G73" s="543"/>
      <c r="H73" s="543"/>
      <c r="I73" s="543"/>
      <c r="J73" s="543"/>
      <c r="K73" s="543"/>
      <c r="L73" s="180"/>
      <c r="N73"/>
      <c r="O73"/>
      <c r="P73"/>
      <c r="Q73"/>
    </row>
    <row r="74" spans="1:17" s="14" customFormat="1" ht="20.25" customHeight="1" x14ac:dyDescent="0.25">
      <c r="A74" s="222"/>
      <c r="B74" s="21" t="s">
        <v>273</v>
      </c>
      <c r="E74" s="15"/>
      <c r="F74" s="16"/>
      <c r="G74" s="545"/>
      <c r="H74" s="546"/>
      <c r="I74" s="546"/>
      <c r="J74" s="546"/>
      <c r="K74" s="547"/>
      <c r="L74" s="283"/>
      <c r="N74"/>
      <c r="O74"/>
      <c r="P74"/>
      <c r="Q74"/>
    </row>
    <row r="75" spans="1:17" x14ac:dyDescent="0.2">
      <c r="A75" s="222"/>
      <c r="E75" s="15" t="s">
        <v>33</v>
      </c>
      <c r="F75" s="16"/>
      <c r="G75" s="545"/>
      <c r="H75" s="546"/>
      <c r="I75" s="546"/>
      <c r="J75" s="546"/>
      <c r="K75" s="547"/>
      <c r="L75" s="283"/>
      <c r="N75"/>
      <c r="O75"/>
      <c r="P75"/>
      <c r="Q75"/>
    </row>
    <row r="76" spans="1:17" s="5" customFormat="1" ht="15" x14ac:dyDescent="0.25">
      <c r="A76" s="223"/>
      <c r="B76" s="55" t="s">
        <v>16</v>
      </c>
      <c r="C76" s="56"/>
      <c r="D76" s="56"/>
      <c r="E76" s="64" t="s">
        <v>33</v>
      </c>
      <c r="F76" s="65"/>
      <c r="G76" s="383"/>
      <c r="H76" s="384"/>
      <c r="I76" s="384"/>
      <c r="J76" s="384"/>
      <c r="K76" s="385"/>
      <c r="L76" s="284"/>
      <c r="N76"/>
      <c r="O76"/>
      <c r="P76"/>
      <c r="Q76"/>
    </row>
    <row r="77" spans="1:17" s="5" customFormat="1" ht="15" x14ac:dyDescent="0.25">
      <c r="A77" s="224"/>
      <c r="B77" s="90" t="s">
        <v>274</v>
      </c>
      <c r="C77" s="57"/>
      <c r="D77" s="57"/>
      <c r="E77" s="66"/>
      <c r="F77" s="67"/>
      <c r="G77" s="417"/>
      <c r="H77" s="418"/>
      <c r="I77" s="418"/>
      <c r="J77" s="418"/>
      <c r="K77" s="419"/>
      <c r="L77" s="285"/>
      <c r="N77"/>
      <c r="O77"/>
      <c r="P77"/>
      <c r="Q77"/>
    </row>
    <row r="78" spans="1:17" x14ac:dyDescent="0.2">
      <c r="A78" s="225"/>
      <c r="B78" s="37"/>
      <c r="C78" s="10" t="s">
        <v>76</v>
      </c>
      <c r="D78" s="10"/>
      <c r="E78" s="62"/>
      <c r="F78" s="63"/>
      <c r="G78" s="548"/>
      <c r="H78" s="549"/>
      <c r="I78" s="549"/>
      <c r="J78" s="549"/>
      <c r="K78" s="550"/>
      <c r="L78" s="267"/>
      <c r="N78"/>
      <c r="O78"/>
      <c r="P78"/>
      <c r="Q78"/>
    </row>
    <row r="79" spans="1:17" x14ac:dyDescent="0.2">
      <c r="A79" s="225">
        <v>40</v>
      </c>
      <c r="B79" s="37"/>
      <c r="C79" s="10"/>
      <c r="D79" s="10" t="s">
        <v>117</v>
      </c>
      <c r="E79" s="19">
        <v>112</v>
      </c>
      <c r="F79" s="20">
        <v>1100</v>
      </c>
      <c r="G79" s="527">
        <f>+'Yr 1 Operating Statement of Act'!G79</f>
        <v>362500</v>
      </c>
      <c r="H79" s="527">
        <f>+'Yr 2 Operating Statement of Act'!G79</f>
        <v>736637.5</v>
      </c>
      <c r="I79" s="527">
        <f>+'Yr 3 Operating Statement of Act'!G79</f>
        <v>1092717.984375</v>
      </c>
      <c r="J79" s="527">
        <f>+'Yr 4 Operating Statement of Act'!G79</f>
        <v>1491054.0654687502</v>
      </c>
      <c r="K79" s="530">
        <f>+J79*(1+$M79)</f>
        <v>1517147.5116144535</v>
      </c>
      <c r="L79" s="268"/>
      <c r="M79" s="427">
        <v>1.7500000000000002E-2</v>
      </c>
    </row>
    <row r="80" spans="1:17" x14ac:dyDescent="0.2">
      <c r="A80" s="225">
        <v>41</v>
      </c>
      <c r="B80" s="37"/>
      <c r="C80" s="10"/>
      <c r="D80" s="10" t="s">
        <v>78</v>
      </c>
      <c r="E80" s="19" t="s">
        <v>79</v>
      </c>
      <c r="F80" s="20" t="s">
        <v>80</v>
      </c>
      <c r="G80" s="527">
        <f>+'Yr 1 Operating Statement of Act'!G80</f>
        <v>0</v>
      </c>
      <c r="H80" s="551">
        <f>+'Yr 2 Operating Statement of Act'!G80</f>
        <v>0</v>
      </c>
      <c r="I80" s="551">
        <f>+'Yr 3 Operating Statement of Act'!G80</f>
        <v>0</v>
      </c>
      <c r="J80" s="551">
        <f>+'Yr 4 Operating Statement of Act'!G80</f>
        <v>0</v>
      </c>
      <c r="K80" s="552"/>
      <c r="L80" s="268"/>
      <c r="M80" s="354"/>
      <c r="O80" s="354"/>
    </row>
    <row r="81" spans="1:15" x14ac:dyDescent="0.2">
      <c r="A81" s="225">
        <v>42</v>
      </c>
      <c r="B81" s="37"/>
      <c r="C81" s="10"/>
      <c r="D81" s="10" t="s">
        <v>81</v>
      </c>
      <c r="E81" s="19" t="s">
        <v>82</v>
      </c>
      <c r="F81" s="20" t="s">
        <v>80</v>
      </c>
      <c r="G81" s="527">
        <f>+'Yr 1 Operating Statement of Act'!G81</f>
        <v>0</v>
      </c>
      <c r="H81" s="551">
        <f>+'Yr 2 Operating Statement of Act'!G81</f>
        <v>0</v>
      </c>
      <c r="I81" s="551">
        <f>+'Yr 3 Operating Statement of Act'!G81</f>
        <v>0</v>
      </c>
      <c r="J81" s="551">
        <f>+'Yr 4 Operating Statement of Act'!G81</f>
        <v>0</v>
      </c>
      <c r="K81" s="552"/>
      <c r="L81" s="268"/>
      <c r="M81" s="354"/>
      <c r="O81" s="354"/>
    </row>
    <row r="82" spans="1:15" x14ac:dyDescent="0.2">
      <c r="A82" s="225">
        <v>43</v>
      </c>
      <c r="B82" s="37"/>
      <c r="C82" s="10" t="s">
        <v>83</v>
      </c>
      <c r="D82" s="10"/>
      <c r="E82" s="19" t="s">
        <v>84</v>
      </c>
      <c r="F82" s="20" t="s">
        <v>80</v>
      </c>
      <c r="G82" s="527">
        <f>+'Yr 1 Operating Statement of Act'!G82</f>
        <v>28677.419354838712</v>
      </c>
      <c r="H82" s="527">
        <f>+'Yr 2 Operating Statement of Act'!G82</f>
        <v>56830.451612903227</v>
      </c>
      <c r="I82" s="527">
        <f>+'Yr 3 Operating Statement of Act'!G82</f>
        <v>85245.677419354848</v>
      </c>
      <c r="J82" s="527">
        <f>+'Yr 4 Operating Statement of Act'!G82</f>
        <v>113905.27416774195</v>
      </c>
      <c r="K82" s="530">
        <f>+J82*(1+$M82)</f>
        <v>116183.37965109679</v>
      </c>
      <c r="L82" s="268"/>
      <c r="M82" s="427">
        <v>0.02</v>
      </c>
    </row>
    <row r="83" spans="1:15" x14ac:dyDescent="0.2">
      <c r="A83" s="225">
        <v>44</v>
      </c>
      <c r="B83" s="37"/>
      <c r="C83" s="10" t="s">
        <v>85</v>
      </c>
      <c r="D83" s="10"/>
      <c r="E83" s="19" t="s">
        <v>86</v>
      </c>
      <c r="F83" s="20" t="s">
        <v>80</v>
      </c>
      <c r="G83" s="527">
        <f>+'Yr 1 Operating Statement of Act'!G83</f>
        <v>0</v>
      </c>
      <c r="H83" s="551">
        <f>+'Yr 2 Operating Statement of Act'!G83</f>
        <v>0</v>
      </c>
      <c r="I83" s="551">
        <f>+'Yr 3 Operating Statement of Act'!G83</f>
        <v>0</v>
      </c>
      <c r="J83" s="551">
        <f>+'Yr 4 Operating Statement of Act'!G83</f>
        <v>0</v>
      </c>
      <c r="K83" s="552"/>
      <c r="L83" s="268"/>
      <c r="M83" s="354"/>
    </row>
    <row r="84" spans="1:15" x14ac:dyDescent="0.2">
      <c r="A84" s="225">
        <v>45</v>
      </c>
      <c r="B84" s="37"/>
      <c r="C84" s="10" t="s">
        <v>87</v>
      </c>
      <c r="D84" s="10"/>
      <c r="E84" s="19" t="s">
        <v>88</v>
      </c>
      <c r="F84" s="20" t="s">
        <v>80</v>
      </c>
      <c r="G84" s="527">
        <f>+'Yr 1 Operating Statement of Act'!G84</f>
        <v>5000</v>
      </c>
      <c r="H84" s="527">
        <f>+'Yr 2 Operating Statement of Act'!G84</f>
        <v>5100</v>
      </c>
      <c r="I84" s="527">
        <f>+'Yr 3 Operating Statement of Act'!G84</f>
        <v>5202</v>
      </c>
      <c r="J84" s="527">
        <f>+'Yr 4 Operating Statement of Act'!G84</f>
        <v>5306.04</v>
      </c>
      <c r="K84" s="530">
        <f>+J84*(1+$M84)</f>
        <v>5412.1607999999997</v>
      </c>
      <c r="L84" s="268"/>
      <c r="M84" s="354">
        <f>+$M$82</f>
        <v>0.02</v>
      </c>
    </row>
    <row r="85" spans="1:15" x14ac:dyDescent="0.2">
      <c r="A85" s="225"/>
      <c r="B85" s="37"/>
      <c r="C85" s="10" t="s">
        <v>89</v>
      </c>
      <c r="D85" s="10"/>
      <c r="E85" s="62"/>
      <c r="F85" s="63"/>
      <c r="G85" s="548"/>
      <c r="H85" s="549"/>
      <c r="I85" s="549"/>
      <c r="J85" s="549"/>
      <c r="K85" s="550"/>
      <c r="L85" s="267"/>
      <c r="M85" s="354"/>
    </row>
    <row r="86" spans="1:15" x14ac:dyDescent="0.2">
      <c r="A86" s="225">
        <v>46</v>
      </c>
      <c r="B86" s="37"/>
      <c r="C86" s="10"/>
      <c r="D86" s="10" t="s">
        <v>6</v>
      </c>
      <c r="E86" s="19" t="s">
        <v>90</v>
      </c>
      <c r="F86" s="20" t="s">
        <v>80</v>
      </c>
      <c r="G86" s="527">
        <f>+'Yr 1 Operating Statement of Act'!G86</f>
        <v>43908.06451612903</v>
      </c>
      <c r="H86" s="527">
        <f>+'Yr 2 Operating Statement of Act'!G86</f>
        <v>87013.238709677418</v>
      </c>
      <c r="I86" s="527">
        <f>+'Yr 3 Operating Statement of Act'!G86</f>
        <v>130519.85806451614</v>
      </c>
      <c r="J86" s="527">
        <f>+'Yr 4 Operating Statement of Act'!G86</f>
        <v>174400.63434580649</v>
      </c>
      <c r="K86" s="530">
        <f>+J86*(1+$M86)</f>
        <v>177888.64703272263</v>
      </c>
      <c r="L86" s="268"/>
      <c r="M86" s="354">
        <f>+$M$82</f>
        <v>0.02</v>
      </c>
    </row>
    <row r="87" spans="1:15" x14ac:dyDescent="0.2">
      <c r="A87" s="225">
        <v>47</v>
      </c>
      <c r="B87" s="37"/>
      <c r="C87" s="10"/>
      <c r="D87" s="10" t="s">
        <v>91</v>
      </c>
      <c r="E87" s="19" t="s">
        <v>92</v>
      </c>
      <c r="F87" s="20" t="s">
        <v>80</v>
      </c>
      <c r="G87" s="527">
        <f>+'Yr 1 Operating Statement of Act'!G87</f>
        <v>6209.677419354839</v>
      </c>
      <c r="H87" s="527">
        <f>+'Yr 2 Operating Statement of Act'!G87</f>
        <v>12305.806451612903</v>
      </c>
      <c r="I87" s="527">
        <f>+'Yr 3 Operating Statement of Act'!G87</f>
        <v>18458.709677419356</v>
      </c>
      <c r="J87" s="527">
        <f>+'Yr 4 Operating Statement of Act'!G87</f>
        <v>24664.527870967748</v>
      </c>
      <c r="K87" s="530">
        <f>+J87*(1+$M87)</f>
        <v>25157.818428387101</v>
      </c>
      <c r="L87" s="268"/>
      <c r="M87" s="354">
        <f>+$M$82</f>
        <v>0.02</v>
      </c>
    </row>
    <row r="88" spans="1:15" x14ac:dyDescent="0.2">
      <c r="A88" s="225">
        <v>48</v>
      </c>
      <c r="B88" s="37"/>
      <c r="C88" s="10" t="s">
        <v>93</v>
      </c>
      <c r="D88" s="10"/>
      <c r="E88" s="19" t="s">
        <v>94</v>
      </c>
      <c r="F88" s="20" t="s">
        <v>80</v>
      </c>
      <c r="G88" s="527">
        <f>+'Yr 1 Operating Statement of Act'!G88</f>
        <v>0</v>
      </c>
      <c r="H88" s="527">
        <f>+'Yr 2 Operating Statement of Act'!G88</f>
        <v>0</v>
      </c>
      <c r="I88" s="527">
        <f>+'Yr 3 Operating Statement of Act'!G88</f>
        <v>0</v>
      </c>
      <c r="J88" s="527">
        <f>+'Yr 4 Operating Statement of Act'!G88</f>
        <v>0</v>
      </c>
      <c r="K88" s="530">
        <f>+J88*(1+$M88)</f>
        <v>0</v>
      </c>
      <c r="L88" s="268"/>
      <c r="M88" s="354">
        <f>+$M$82</f>
        <v>0.02</v>
      </c>
    </row>
    <row r="89" spans="1:15" x14ac:dyDescent="0.2">
      <c r="A89" s="225">
        <v>49</v>
      </c>
      <c r="B89" s="37"/>
      <c r="C89" s="10" t="s">
        <v>95</v>
      </c>
      <c r="D89" s="10"/>
      <c r="E89" s="19" t="s">
        <v>96</v>
      </c>
      <c r="F89" s="20" t="s">
        <v>80</v>
      </c>
      <c r="G89" s="527">
        <f>+'Yr 1 Operating Statement of Act'!G89</f>
        <v>0</v>
      </c>
      <c r="H89" s="551">
        <f>+'Yr 2 Operating Statement of Act'!G89</f>
        <v>0</v>
      </c>
      <c r="I89" s="551">
        <f>+'Yr 3 Operating Statement of Act'!G89</f>
        <v>0</v>
      </c>
      <c r="J89" s="551">
        <f>+'Yr 4 Operating Statement of Act'!G89</f>
        <v>0</v>
      </c>
      <c r="K89" s="552"/>
      <c r="L89" s="268"/>
      <c r="M89" s="354"/>
      <c r="O89" s="354"/>
    </row>
    <row r="90" spans="1:15" x14ac:dyDescent="0.2">
      <c r="A90" s="225">
        <v>50</v>
      </c>
      <c r="B90" s="37"/>
      <c r="C90" s="10" t="s">
        <v>295</v>
      </c>
      <c r="D90" s="10"/>
      <c r="E90" s="19" t="s">
        <v>97</v>
      </c>
      <c r="F90" s="20" t="s">
        <v>80</v>
      </c>
      <c r="G90" s="527">
        <f>+'Yr 1 Operating Statement of Act'!G90</f>
        <v>25655.33360655155</v>
      </c>
      <c r="H90" s="551">
        <f>+'Yr 2 Operating Statement of Act'!G90</f>
        <v>52134.291888541011</v>
      </c>
      <c r="I90" s="551">
        <f>+'Yr 3 Operating Statement of Act'!G90</f>
        <v>77335.294971087467</v>
      </c>
      <c r="J90" s="551">
        <f>+'Yr 4 Operating Statement of Act'!G90</f>
        <v>105526.86751725723</v>
      </c>
      <c r="K90" s="551">
        <f>+K$79*$N90</f>
        <v>107373.58769880924</v>
      </c>
      <c r="L90" s="268"/>
      <c r="N90" s="355">
        <f>'KIPP Assumptions'!$B$105+'KIPP Assumptions'!$B$106+'KIPP Assumptions'!$B$107+'KIPP Assumptions'!$B$108+'KIPP Assumptions'!$B$109</f>
        <v>7.0773334087038758E-2</v>
      </c>
    </row>
    <row r="91" spans="1:15" x14ac:dyDescent="0.2">
      <c r="A91" s="225">
        <v>51</v>
      </c>
      <c r="B91" s="37"/>
      <c r="C91" s="10" t="s">
        <v>98</v>
      </c>
      <c r="D91" s="10"/>
      <c r="E91" s="19" t="s">
        <v>99</v>
      </c>
      <c r="F91" s="20" t="s">
        <v>80</v>
      </c>
      <c r="G91" s="527">
        <f>+'Yr 1 Operating Statement of Act'!G91</f>
        <v>22475</v>
      </c>
      <c r="H91" s="551">
        <f>+'Yr 2 Operating Statement of Act'!G91</f>
        <v>45671.525000000001</v>
      </c>
      <c r="I91" s="551">
        <f>+'Yr 3 Operating Statement of Act'!G91</f>
        <v>67748.515031250005</v>
      </c>
      <c r="J91" s="551">
        <f>+'Yr 4 Operating Statement of Act'!G91</f>
        <v>92445.352059062512</v>
      </c>
      <c r="K91" s="551">
        <f>+K$79*$N91</f>
        <v>94063.145720096116</v>
      </c>
      <c r="L91" s="268"/>
      <c r="N91" s="355">
        <f>'KIPP Assumptions'!$B$111</f>
        <v>6.2E-2</v>
      </c>
    </row>
    <row r="92" spans="1:15" x14ac:dyDescent="0.2">
      <c r="A92" s="225">
        <v>52</v>
      </c>
      <c r="B92" s="37"/>
      <c r="C92" s="10" t="s">
        <v>100</v>
      </c>
      <c r="D92" s="10"/>
      <c r="E92" s="19" t="s">
        <v>101</v>
      </c>
      <c r="F92" s="20" t="s">
        <v>80</v>
      </c>
      <c r="G92" s="527">
        <f>+'Yr 1 Operating Statement of Act'!G92</f>
        <v>5256.25</v>
      </c>
      <c r="H92" s="551">
        <f>+'Yr 2 Operating Statement of Act'!G92</f>
        <v>10681.24375</v>
      </c>
      <c r="I92" s="551">
        <f>+'Yr 3 Operating Statement of Act'!G92</f>
        <v>15844.410773437501</v>
      </c>
      <c r="J92" s="551">
        <f>+'Yr 4 Operating Statement of Act'!G92</f>
        <v>21620.283949296878</v>
      </c>
      <c r="K92" s="551">
        <f>+K$79*$N92</f>
        <v>21998.638918409579</v>
      </c>
      <c r="L92" s="268"/>
      <c r="N92" s="355">
        <f>'KIPP Assumptions'!$B$110</f>
        <v>1.4500000000000001E-2</v>
      </c>
    </row>
    <row r="93" spans="1:15" x14ac:dyDescent="0.2">
      <c r="A93" s="225">
        <v>53</v>
      </c>
      <c r="B93" s="37"/>
      <c r="C93" s="10" t="s">
        <v>219</v>
      </c>
      <c r="D93" s="10"/>
      <c r="E93" s="19" t="s">
        <v>220</v>
      </c>
      <c r="F93" s="20">
        <v>1100</v>
      </c>
      <c r="G93" s="527">
        <f>+'Yr 1 Operating Statement of Act'!G93</f>
        <v>11646.793972690619</v>
      </c>
      <c r="H93" s="551">
        <f>+'Yr 2 Operating Statement of Act'!G93</f>
        <v>23667.490193263133</v>
      </c>
      <c r="I93" s="551">
        <f>+'Yr 3 Operating Statement of Act'!G93</f>
        <v>35108.030991087973</v>
      </c>
      <c r="J93" s="551">
        <f>+'Yr 4 Operating Statement of Act'!G93</f>
        <v>47906.205524571815</v>
      </c>
      <c r="K93" s="551">
        <f>+K$79*$N93</f>
        <v>48744.564121251824</v>
      </c>
      <c r="L93" s="268"/>
      <c r="N93" s="355">
        <f>+'KIPP Assumptions'!$B$113</f>
        <v>3.21290868212155E-2</v>
      </c>
    </row>
    <row r="94" spans="1:15" x14ac:dyDescent="0.2">
      <c r="A94" s="225">
        <v>54</v>
      </c>
      <c r="B94" s="37"/>
      <c r="C94" s="10" t="s">
        <v>102</v>
      </c>
      <c r="D94" s="10"/>
      <c r="E94" s="19" t="s">
        <v>103</v>
      </c>
      <c r="F94" s="20" t="s">
        <v>80</v>
      </c>
      <c r="G94" s="527">
        <f>+'Yr 1 Operating Statement of Act'!G94</f>
        <v>362.5</v>
      </c>
      <c r="H94" s="551">
        <f>+'Yr 2 Operating Statement of Act'!G94</f>
        <v>736.63750000000005</v>
      </c>
      <c r="I94" s="551">
        <f>+'Yr 3 Operating Statement of Act'!G94</f>
        <v>1092.717984375</v>
      </c>
      <c r="J94" s="551">
        <f>+'Yr 4 Operating Statement of Act'!G94</f>
        <v>1491.0540654687502</v>
      </c>
      <c r="K94" s="551">
        <f>+K$79*$N94</f>
        <v>1517.1475116144536</v>
      </c>
      <c r="L94" s="268"/>
      <c r="N94" s="355">
        <f>+'KIPP Assumptions'!$B$112</f>
        <v>1E-3</v>
      </c>
    </row>
    <row r="95" spans="1:15" x14ac:dyDescent="0.2">
      <c r="A95" s="225">
        <v>55</v>
      </c>
      <c r="B95" s="37"/>
      <c r="C95" s="10" t="s">
        <v>104</v>
      </c>
      <c r="D95" s="10"/>
      <c r="E95" s="19" t="s">
        <v>105</v>
      </c>
      <c r="F95" s="20" t="s">
        <v>80</v>
      </c>
      <c r="G95" s="527">
        <f>+'Yr 1 Operating Statement of Act'!G95</f>
        <v>0</v>
      </c>
      <c r="H95" s="551">
        <f>+'Yr 2 Operating Statement of Act'!G95</f>
        <v>0</v>
      </c>
      <c r="I95" s="551">
        <f>+'Yr 3 Operating Statement of Act'!G95</f>
        <v>0</v>
      </c>
      <c r="J95" s="551">
        <f>+'Yr 4 Operating Statement of Act'!G95</f>
        <v>0</v>
      </c>
      <c r="K95" s="552"/>
      <c r="L95" s="268"/>
      <c r="M95" s="354"/>
      <c r="O95" s="354"/>
    </row>
    <row r="96" spans="1:15" x14ac:dyDescent="0.2">
      <c r="A96" s="225">
        <v>56</v>
      </c>
      <c r="B96" s="37"/>
      <c r="C96" s="86" t="s">
        <v>283</v>
      </c>
      <c r="D96" s="10"/>
      <c r="E96" s="19"/>
      <c r="F96" s="20"/>
      <c r="G96" s="553"/>
      <c r="H96" s="551"/>
      <c r="I96" s="551"/>
      <c r="J96" s="551"/>
      <c r="K96" s="552"/>
      <c r="L96" s="268"/>
      <c r="M96" s="354"/>
      <c r="O96" s="354"/>
    </row>
    <row r="97" spans="1:15" x14ac:dyDescent="0.2">
      <c r="A97" s="225">
        <v>57</v>
      </c>
      <c r="B97" s="37"/>
      <c r="C97" s="10" t="s">
        <v>446</v>
      </c>
      <c r="D97" s="10"/>
      <c r="E97" s="19">
        <v>150</v>
      </c>
      <c r="F97" s="20">
        <v>1100</v>
      </c>
      <c r="G97" s="527">
        <f>+'Yr 1 Operating Statement of Act'!G97</f>
        <v>21530</v>
      </c>
      <c r="H97" s="527">
        <f>+'Yr 2 Operating Statement of Act'!G97</f>
        <v>38754</v>
      </c>
      <c r="I97" s="527">
        <f>+'Yr 3 Operating Statement of Act'!G97</f>
        <v>55978</v>
      </c>
      <c r="J97" s="527">
        <f>+'Yr 4 Operating Statement of Act'!G97</f>
        <v>73202</v>
      </c>
      <c r="K97" s="530">
        <f>+J97*(1+$M97)</f>
        <v>73202</v>
      </c>
      <c r="L97" s="268"/>
      <c r="M97" s="427">
        <v>0</v>
      </c>
    </row>
    <row r="98" spans="1:15" x14ac:dyDescent="0.2">
      <c r="A98" s="225">
        <v>58</v>
      </c>
      <c r="B98" s="37"/>
      <c r="C98" s="86"/>
      <c r="D98" s="10"/>
      <c r="E98" s="19"/>
      <c r="F98" s="20"/>
      <c r="G98" s="553"/>
      <c r="H98" s="551"/>
      <c r="I98" s="551"/>
      <c r="J98" s="551"/>
      <c r="K98" s="552"/>
      <c r="L98" s="268"/>
      <c r="M98" s="354"/>
      <c r="O98" s="354"/>
    </row>
    <row r="99" spans="1:15" x14ac:dyDescent="0.2">
      <c r="A99" s="225">
        <v>59</v>
      </c>
      <c r="E99" s="15"/>
      <c r="F99" s="16"/>
      <c r="G99" s="545"/>
      <c r="H99" s="546"/>
      <c r="I99" s="546"/>
      <c r="J99" s="546"/>
      <c r="K99" s="547"/>
      <c r="L99" s="283"/>
      <c r="M99" s="354"/>
      <c r="O99" s="354"/>
    </row>
    <row r="100" spans="1:15" ht="15" x14ac:dyDescent="0.25">
      <c r="A100" s="226">
        <v>60</v>
      </c>
      <c r="B100" s="88" t="s">
        <v>106</v>
      </c>
      <c r="C100" s="52"/>
      <c r="D100" s="52"/>
      <c r="E100" s="50"/>
      <c r="F100" s="51"/>
      <c r="G100" s="554">
        <f>SUM(G79:G99)</f>
        <v>533221.03886956477</v>
      </c>
      <c r="H100" s="555">
        <f>SUM(H79:H99)</f>
        <v>1069532.1851059976</v>
      </c>
      <c r="I100" s="555">
        <f>SUM(I79:I99)</f>
        <v>1585251.1992875284</v>
      </c>
      <c r="J100" s="555">
        <f>SUM(J79:J99)</f>
        <v>2151522.3049689233</v>
      </c>
      <c r="K100" s="556">
        <f>SUM(K79:K99)</f>
        <v>2188688.6014968413</v>
      </c>
      <c r="L100" s="271"/>
      <c r="M100" s="354"/>
      <c r="O100" s="354"/>
    </row>
    <row r="101" spans="1:15" x14ac:dyDescent="0.2">
      <c r="A101" s="225"/>
      <c r="E101" s="15"/>
      <c r="F101" s="16"/>
      <c r="G101" s="545"/>
      <c r="H101" s="546"/>
      <c r="I101" s="546"/>
      <c r="J101" s="546"/>
      <c r="K101" s="547"/>
      <c r="L101" s="283"/>
      <c r="M101" s="354"/>
      <c r="O101" s="354"/>
    </row>
    <row r="102" spans="1:15" s="5" customFormat="1" ht="15" x14ac:dyDescent="0.25">
      <c r="A102" s="227"/>
      <c r="B102" s="91" t="s">
        <v>14</v>
      </c>
      <c r="C102" s="56"/>
      <c r="D102" s="60"/>
      <c r="E102" s="64"/>
      <c r="F102" s="65"/>
      <c r="G102" s="383"/>
      <c r="H102" s="384"/>
      <c r="I102" s="384"/>
      <c r="J102" s="384"/>
      <c r="K102" s="385"/>
      <c r="L102" s="284"/>
      <c r="M102" s="354"/>
      <c r="O102" s="354"/>
    </row>
    <row r="103" spans="1:15" s="5" customFormat="1" ht="15" x14ac:dyDescent="0.25">
      <c r="A103" s="228"/>
      <c r="B103" s="90" t="s">
        <v>15</v>
      </c>
      <c r="C103" s="57"/>
      <c r="D103" s="61"/>
      <c r="E103" s="66"/>
      <c r="F103" s="67"/>
      <c r="G103" s="417"/>
      <c r="H103" s="418"/>
      <c r="I103" s="418"/>
      <c r="J103" s="418"/>
      <c r="K103" s="419"/>
      <c r="L103" s="285"/>
      <c r="M103" s="354"/>
      <c r="O103" s="354"/>
    </row>
    <row r="104" spans="1:15" x14ac:dyDescent="0.2">
      <c r="A104" s="225"/>
      <c r="B104" s="10"/>
      <c r="C104" s="10" t="s">
        <v>76</v>
      </c>
      <c r="E104" s="62"/>
      <c r="F104" s="63"/>
      <c r="G104" s="548"/>
      <c r="H104" s="549"/>
      <c r="I104" s="549"/>
      <c r="J104" s="549"/>
      <c r="K104" s="550"/>
      <c r="L104" s="267"/>
      <c r="M104" s="354"/>
      <c r="O104" s="354"/>
    </row>
    <row r="105" spans="1:15" x14ac:dyDescent="0.2">
      <c r="A105" s="225">
        <v>61</v>
      </c>
      <c r="B105" s="37"/>
      <c r="C105" s="10"/>
      <c r="D105" s="10" t="s">
        <v>117</v>
      </c>
      <c r="E105" s="19" t="s">
        <v>77</v>
      </c>
      <c r="F105" s="20" t="s">
        <v>107</v>
      </c>
      <c r="G105" s="527">
        <f>+'Yr 1 Operating Statement of Act'!G105</f>
        <v>159250</v>
      </c>
      <c r="H105" s="551">
        <f>+'Yr 2 Operating Statement of Act'!G105</f>
        <v>208333.125</v>
      </c>
      <c r="I105" s="551">
        <f>+'Yr 3 Operating Statement of Act'!G105</f>
        <v>282638.60625000001</v>
      </c>
      <c r="J105" s="551">
        <f>+'Yr 4 Operating Statement of Act'!G105</f>
        <v>383446.37581250007</v>
      </c>
      <c r="K105" s="552">
        <f>+J105*(1+$M105)</f>
        <v>390156.68738921883</v>
      </c>
      <c r="L105" s="268"/>
      <c r="M105" s="354">
        <f>+$M$79</f>
        <v>1.7500000000000002E-2</v>
      </c>
    </row>
    <row r="106" spans="1:15" x14ac:dyDescent="0.2">
      <c r="A106" s="225">
        <v>62</v>
      </c>
      <c r="B106" s="37"/>
      <c r="C106" s="10"/>
      <c r="D106" s="10" t="s">
        <v>285</v>
      </c>
      <c r="E106" s="19" t="s">
        <v>108</v>
      </c>
      <c r="F106" s="20" t="s">
        <v>107</v>
      </c>
      <c r="G106" s="527">
        <f>+'Yr 1 Operating Statement of Act'!G106</f>
        <v>79500</v>
      </c>
      <c r="H106" s="551">
        <f>+'Yr 2 Operating Statement of Act'!G106</f>
        <v>80891.250000000015</v>
      </c>
      <c r="I106" s="551">
        <f>+'Yr 3 Operating Statement of Act'!G106</f>
        <v>137178.07812500003</v>
      </c>
      <c r="J106" s="551">
        <f>+'Yr 4 Operating Statement of Act'!G106</f>
        <v>139578.69449218753</v>
      </c>
      <c r="K106" s="552">
        <f>+J106*(1+$M106)</f>
        <v>142021.32164580081</v>
      </c>
      <c r="L106" s="268"/>
      <c r="M106" s="354">
        <f>+$M$79</f>
        <v>1.7500000000000002E-2</v>
      </c>
    </row>
    <row r="107" spans="1:15" x14ac:dyDescent="0.2">
      <c r="A107" s="225">
        <v>63</v>
      </c>
      <c r="B107" s="37"/>
      <c r="C107" s="10"/>
      <c r="D107" s="10" t="s">
        <v>78</v>
      </c>
      <c r="E107" s="19" t="s">
        <v>79</v>
      </c>
      <c r="F107" s="20" t="s">
        <v>107</v>
      </c>
      <c r="G107" s="527">
        <f>+'Yr 1 Operating Statement of Act'!G107</f>
        <v>30000</v>
      </c>
      <c r="H107" s="551">
        <f>+'Yr 2 Operating Statement of Act'!G107</f>
        <v>61050.000000000007</v>
      </c>
      <c r="I107" s="551">
        <f>+'Yr 3 Operating Statement of Act'!G107</f>
        <v>93177.562500000029</v>
      </c>
      <c r="J107" s="551">
        <f>+'Yr 4 Operating Statement of Act'!G107</f>
        <v>94808.169843750016</v>
      </c>
      <c r="K107" s="552">
        <f>+J107*(1+$M107)</f>
        <v>96467.312816015648</v>
      </c>
      <c r="L107" s="268"/>
      <c r="M107" s="354">
        <f>+$M$79</f>
        <v>1.7500000000000002E-2</v>
      </c>
    </row>
    <row r="108" spans="1:15" x14ac:dyDescent="0.2">
      <c r="A108" s="225">
        <v>64</v>
      </c>
      <c r="B108" s="37"/>
      <c r="C108" s="10"/>
      <c r="D108" s="10" t="s">
        <v>81</v>
      </c>
      <c r="E108" s="19" t="s">
        <v>82</v>
      </c>
      <c r="F108" s="20" t="s">
        <v>107</v>
      </c>
      <c r="G108" s="527">
        <f>+'Yr 1 Operating Statement of Act'!G108</f>
        <v>0</v>
      </c>
      <c r="H108" s="551">
        <f>+'Yr 2 Operating Statement of Act'!G108</f>
        <v>0</v>
      </c>
      <c r="I108" s="551">
        <f>+'Yr 3 Operating Statement of Act'!G108</f>
        <v>0</v>
      </c>
      <c r="J108" s="551">
        <f>+'Yr 4 Operating Statement of Act'!G108</f>
        <v>0</v>
      </c>
      <c r="K108" s="552"/>
      <c r="L108" s="268"/>
    </row>
    <row r="109" spans="1:15" x14ac:dyDescent="0.2">
      <c r="A109" s="225">
        <v>65</v>
      </c>
      <c r="B109" s="37"/>
      <c r="C109" s="10" t="s">
        <v>83</v>
      </c>
      <c r="D109" s="10"/>
      <c r="E109" s="19" t="s">
        <v>84</v>
      </c>
      <c r="F109" s="20" t="s">
        <v>107</v>
      </c>
      <c r="G109" s="527">
        <f>+'Yr 1 Operating Statement of Act'!G109</f>
        <v>33893.548387096773</v>
      </c>
      <c r="H109" s="527">
        <f>+'Yr 2 Operating Statement of Act'!G109</f>
        <v>67167.329032258072</v>
      </c>
      <c r="I109" s="527">
        <f>+'Yr 3 Operating Statement of Act'!G109</f>
        <v>100750.99354838709</v>
      </c>
      <c r="J109" s="527">
        <f>+'Yr 4 Operating Statement of Act'!G109</f>
        <v>134623.47757935486</v>
      </c>
      <c r="K109" s="530">
        <f>+J109*(1+$M109)</f>
        <v>137315.94713094196</v>
      </c>
      <c r="L109" s="268"/>
      <c r="M109" s="354">
        <f>+$M$82</f>
        <v>0.02</v>
      </c>
    </row>
    <row r="110" spans="1:15" x14ac:dyDescent="0.2">
      <c r="A110" s="225">
        <v>66</v>
      </c>
      <c r="B110" s="37"/>
      <c r="C110" s="10" t="s">
        <v>85</v>
      </c>
      <c r="D110" s="10"/>
      <c r="E110" s="19">
        <v>430</v>
      </c>
      <c r="F110" s="20">
        <v>1210</v>
      </c>
      <c r="G110" s="527">
        <f>+'Yr 1 Operating Statement of Act'!G110</f>
        <v>0</v>
      </c>
      <c r="H110" s="551">
        <f>+'Yr 2 Operating Statement of Act'!G110</f>
        <v>0</v>
      </c>
      <c r="I110" s="551">
        <f>+'Yr 3 Operating Statement of Act'!G110</f>
        <v>0</v>
      </c>
      <c r="J110" s="551">
        <f>+'Yr 4 Operating Statement of Act'!G110</f>
        <v>0</v>
      </c>
      <c r="K110" s="552"/>
      <c r="L110" s="268"/>
    </row>
    <row r="111" spans="1:15" x14ac:dyDescent="0.2">
      <c r="A111" s="225">
        <v>67</v>
      </c>
      <c r="B111" s="37"/>
      <c r="C111" s="10" t="s">
        <v>87</v>
      </c>
      <c r="D111" s="10"/>
      <c r="E111" s="19" t="s">
        <v>88</v>
      </c>
      <c r="F111" s="20" t="s">
        <v>107</v>
      </c>
      <c r="G111" s="527">
        <f>+'Yr 1 Operating Statement of Act'!G111</f>
        <v>0</v>
      </c>
      <c r="H111" s="551">
        <f>+'Yr 2 Operating Statement of Act'!G111</f>
        <v>0</v>
      </c>
      <c r="I111" s="551">
        <f>+'Yr 3 Operating Statement of Act'!G111</f>
        <v>0</v>
      </c>
      <c r="J111" s="551">
        <f>+'Yr 4 Operating Statement of Act'!G111</f>
        <v>0</v>
      </c>
      <c r="K111" s="552"/>
      <c r="L111" s="268"/>
    </row>
    <row r="112" spans="1:15" x14ac:dyDescent="0.2">
      <c r="A112" s="225"/>
      <c r="B112" s="37"/>
      <c r="C112" s="10" t="s">
        <v>109</v>
      </c>
      <c r="D112" s="10"/>
      <c r="E112" s="62"/>
      <c r="F112" s="63"/>
      <c r="G112" s="548"/>
      <c r="H112" s="549"/>
      <c r="I112" s="549"/>
      <c r="J112" s="549"/>
      <c r="K112" s="550"/>
      <c r="L112" s="267"/>
    </row>
    <row r="113" spans="1:14" x14ac:dyDescent="0.2">
      <c r="A113" s="225">
        <v>68</v>
      </c>
      <c r="B113" s="37"/>
      <c r="C113" s="10"/>
      <c r="D113" s="10" t="s">
        <v>110</v>
      </c>
      <c r="E113" s="19" t="s">
        <v>90</v>
      </c>
      <c r="F113" s="20" t="s">
        <v>107</v>
      </c>
      <c r="G113" s="527">
        <f>+'Yr 1 Operating Statement of Act'!G113</f>
        <v>5941.5322580645161</v>
      </c>
      <c r="H113" s="527">
        <f>+'Yr 2 Operating Statement of Act'!G113</f>
        <v>11774.41935483871</v>
      </c>
      <c r="I113" s="527">
        <f>+'Yr 3 Operating Statement of Act'!G113</f>
        <v>17661.629032258064</v>
      </c>
      <c r="J113" s="527">
        <f>+'Yr 4 Operating Statement of Act'!G113</f>
        <v>23599.468712903228</v>
      </c>
      <c r="K113" s="530">
        <f>+J113*(1+$M113)</f>
        <v>24071.458087161292</v>
      </c>
      <c r="L113" s="268"/>
      <c r="M113" s="354">
        <f>+$M$82</f>
        <v>0.02</v>
      </c>
    </row>
    <row r="114" spans="1:14" x14ac:dyDescent="0.2">
      <c r="A114" s="225">
        <v>69</v>
      </c>
      <c r="B114" s="37"/>
      <c r="C114" s="10"/>
      <c r="D114" s="10" t="s">
        <v>91</v>
      </c>
      <c r="E114" s="19" t="s">
        <v>92</v>
      </c>
      <c r="F114" s="20" t="s">
        <v>107</v>
      </c>
      <c r="G114" s="527">
        <f>+'Yr 1 Operating Statement of Act'!G114</f>
        <v>0</v>
      </c>
      <c r="H114" s="527">
        <f>+'Yr 2 Operating Statement of Act'!G114</f>
        <v>0</v>
      </c>
      <c r="I114" s="527">
        <f>+'Yr 3 Operating Statement of Act'!G114</f>
        <v>0</v>
      </c>
      <c r="J114" s="527">
        <f>+'Yr 4 Operating Statement of Act'!G114</f>
        <v>0</v>
      </c>
      <c r="K114" s="530">
        <f>+J114*(1+$M114)</f>
        <v>0</v>
      </c>
      <c r="L114" s="268"/>
      <c r="M114" s="354">
        <f>+$M$82</f>
        <v>0.02</v>
      </c>
    </row>
    <row r="115" spans="1:14" x14ac:dyDescent="0.2">
      <c r="A115" s="225">
        <v>70</v>
      </c>
      <c r="B115" s="37"/>
      <c r="C115" s="10" t="s">
        <v>93</v>
      </c>
      <c r="D115" s="10"/>
      <c r="E115" s="19" t="s">
        <v>94</v>
      </c>
      <c r="F115" s="20" t="s">
        <v>107</v>
      </c>
      <c r="G115" s="527">
        <f>+'Yr 1 Operating Statement of Act'!G115</f>
        <v>0</v>
      </c>
      <c r="H115" s="551">
        <f>+'Yr 2 Operating Statement of Act'!G115</f>
        <v>0</v>
      </c>
      <c r="I115" s="551">
        <f>+'Yr 3 Operating Statement of Act'!G115</f>
        <v>0</v>
      </c>
      <c r="J115" s="551">
        <f>+'Yr 4 Operating Statement of Act'!G115</f>
        <v>0</v>
      </c>
      <c r="K115" s="552"/>
      <c r="L115" s="268"/>
    </row>
    <row r="116" spans="1:14" x14ac:dyDescent="0.2">
      <c r="A116" s="225">
        <v>71</v>
      </c>
      <c r="B116" s="37"/>
      <c r="C116" s="10" t="s">
        <v>95</v>
      </c>
      <c r="D116" s="10"/>
      <c r="E116" s="19" t="s">
        <v>96</v>
      </c>
      <c r="F116" s="20" t="s">
        <v>107</v>
      </c>
      <c r="G116" s="527">
        <f>+'Yr 1 Operating Statement of Act'!G116</f>
        <v>0</v>
      </c>
      <c r="H116" s="551">
        <f>+'Yr 2 Operating Statement of Act'!G116</f>
        <v>0</v>
      </c>
      <c r="I116" s="551">
        <f>+'Yr 3 Operating Statement of Act'!G116</f>
        <v>0</v>
      </c>
      <c r="J116" s="551">
        <f>+'Yr 4 Operating Statement of Act'!G116</f>
        <v>0</v>
      </c>
      <c r="K116" s="552"/>
      <c r="L116" s="268"/>
    </row>
    <row r="117" spans="1:14" x14ac:dyDescent="0.2">
      <c r="A117" s="225">
        <v>72</v>
      </c>
      <c r="B117" s="37"/>
      <c r="C117" s="10" t="s">
        <v>295</v>
      </c>
      <c r="D117" s="10"/>
      <c r="E117" s="19" t="s">
        <v>97</v>
      </c>
      <c r="F117" s="20" t="s">
        <v>34</v>
      </c>
      <c r="G117" s="527">
        <f>+'Yr 1 Operating Statement of Act'!G117</f>
        <v>19020.333535891667</v>
      </c>
      <c r="H117" s="551">
        <f>+'Yr 2 Operating Statement of Act'!G117</f>
        <v>24790.085364003698</v>
      </c>
      <c r="I117" s="551">
        <f>+'Yr 3 Operating Statement of Act'!G117</f>
        <v>36306.313218813215</v>
      </c>
      <c r="J117" s="551">
        <f>+'Yr 4 Operating Statement of Act'!G117</f>
        <v>43726.118315103027</v>
      </c>
      <c r="K117" s="551">
        <f>SUM(K$105:K$107)*$N117</f>
        <v>44491.325385617332</v>
      </c>
      <c r="L117" s="268"/>
      <c r="N117" s="355">
        <f>'KIPP Assumptions'!$B$105+'KIPP Assumptions'!$B$106+'KIPP Assumptions'!$B$107+'KIPP Assumptions'!$B$108+'KIPP Assumptions'!$B$109</f>
        <v>7.0773334087038758E-2</v>
      </c>
    </row>
    <row r="118" spans="1:14" x14ac:dyDescent="0.2">
      <c r="A118" s="225">
        <v>73</v>
      </c>
      <c r="B118" s="37"/>
      <c r="C118" s="10" t="s">
        <v>98</v>
      </c>
      <c r="D118" s="10"/>
      <c r="E118" s="19" t="s">
        <v>99</v>
      </c>
      <c r="F118" s="20" t="s">
        <v>34</v>
      </c>
      <c r="G118" s="527">
        <f>+'Yr 1 Operating Statement of Act'!G118</f>
        <v>16662.5</v>
      </c>
      <c r="H118" s="551">
        <f>+'Yr 2 Operating Statement of Act'!G118</f>
        <v>21717.01125</v>
      </c>
      <c r="I118" s="551">
        <f>+'Yr 3 Operating Statement of Act'!G118</f>
        <v>31805.643306250004</v>
      </c>
      <c r="J118" s="551">
        <f>+'Yr 4 Operating Statement of Act'!G118</f>
        <v>38305.660889203136</v>
      </c>
      <c r="K118" s="551">
        <f>SUM(K$105:K$107)*$N118</f>
        <v>38976.009954764195</v>
      </c>
      <c r="L118" s="268"/>
      <c r="N118" s="355">
        <f>'KIPP Assumptions'!$B$111</f>
        <v>6.2E-2</v>
      </c>
    </row>
    <row r="119" spans="1:14" x14ac:dyDescent="0.2">
      <c r="A119" s="225">
        <v>74</v>
      </c>
      <c r="B119" s="37"/>
      <c r="C119" s="10" t="s">
        <v>100</v>
      </c>
      <c r="D119" s="10"/>
      <c r="E119" s="19" t="s">
        <v>101</v>
      </c>
      <c r="F119" s="20" t="s">
        <v>34</v>
      </c>
      <c r="G119" s="527">
        <f>+'Yr 1 Operating Statement of Act'!G119</f>
        <v>3896.875</v>
      </c>
      <c r="H119" s="551">
        <f>+'Yr 2 Operating Statement of Act'!G119</f>
        <v>5078.9784374999999</v>
      </c>
      <c r="I119" s="551">
        <f>+'Yr 3 Operating Statement of Act'!G119</f>
        <v>7438.4165796875013</v>
      </c>
      <c r="J119" s="551">
        <f>+'Yr 4 Operating Statement of Act'!G119</f>
        <v>8958.5819821523473</v>
      </c>
      <c r="K119" s="551">
        <f>SUM(K$105:K$107)*$N119</f>
        <v>9115.3571668400127</v>
      </c>
      <c r="L119" s="268"/>
      <c r="N119" s="355">
        <f>'KIPP Assumptions'!$B$110</f>
        <v>1.4500000000000001E-2</v>
      </c>
    </row>
    <row r="120" spans="1:14" x14ac:dyDescent="0.2">
      <c r="A120" s="225">
        <v>75</v>
      </c>
      <c r="B120" s="37"/>
      <c r="C120" s="10" t="s">
        <v>219</v>
      </c>
      <c r="D120" s="10"/>
      <c r="E120" s="19" t="s">
        <v>220</v>
      </c>
      <c r="F120" s="20">
        <v>1200</v>
      </c>
      <c r="G120" s="527">
        <f>+'Yr 1 Operating Statement of Act'!G120</f>
        <v>8634.6920832016658</v>
      </c>
      <c r="H120" s="551">
        <f>+'Yr 2 Operating Statement of Act'!G120</f>
        <v>11253.995805621997</v>
      </c>
      <c r="I120" s="551">
        <f>+'Yr 3 Operating Statement of Act'!G120</f>
        <v>16482.036696630934</v>
      </c>
      <c r="J120" s="551">
        <f>+'Yr 4 Operating Statement of Act'!G120</f>
        <v>19850.41781376204</v>
      </c>
      <c r="K120" s="551">
        <f>SUM(K$105:K$107)*$N120</f>
        <v>20197.800125502876</v>
      </c>
      <c r="L120" s="268"/>
      <c r="N120" s="355">
        <f>+'KIPP Assumptions'!$B$113</f>
        <v>3.21290868212155E-2</v>
      </c>
    </row>
    <row r="121" spans="1:14" x14ac:dyDescent="0.2">
      <c r="A121" s="225">
        <v>76</v>
      </c>
      <c r="B121" s="37"/>
      <c r="C121" s="10" t="s">
        <v>102</v>
      </c>
      <c r="D121" s="10"/>
      <c r="E121" s="19" t="s">
        <v>103</v>
      </c>
      <c r="F121" s="20" t="s">
        <v>34</v>
      </c>
      <c r="G121" s="527">
        <f>+'Yr 1 Operating Statement of Act'!G121</f>
        <v>268.75</v>
      </c>
      <c r="H121" s="551">
        <f>+'Yr 2 Operating Statement of Act'!G121</f>
        <v>350.27437500000002</v>
      </c>
      <c r="I121" s="551">
        <f>+'Yr 3 Operating Statement of Act'!G121</f>
        <v>512.99424687500004</v>
      </c>
      <c r="J121" s="551">
        <f>+'Yr 4 Operating Statement of Act'!G121</f>
        <v>617.83324014843765</v>
      </c>
      <c r="K121" s="551">
        <f>SUM(K$105:K$107)*$N121</f>
        <v>628.64532185103531</v>
      </c>
      <c r="L121" s="268"/>
      <c r="N121" s="355">
        <f>+'KIPP Assumptions'!$B$112</f>
        <v>1E-3</v>
      </c>
    </row>
    <row r="122" spans="1:14" x14ac:dyDescent="0.2">
      <c r="A122" s="225">
        <v>77</v>
      </c>
      <c r="B122" s="37"/>
      <c r="C122" s="10" t="s">
        <v>104</v>
      </c>
      <c r="D122" s="10"/>
      <c r="E122" s="19" t="s">
        <v>105</v>
      </c>
      <c r="F122" s="20" t="s">
        <v>34</v>
      </c>
      <c r="G122" s="527">
        <f>+'Yr 1 Operating Statement of Act'!G122</f>
        <v>0</v>
      </c>
      <c r="H122" s="551">
        <f>+'Yr 2 Operating Statement of Act'!G122</f>
        <v>0</v>
      </c>
      <c r="I122" s="551">
        <f>+'Yr 3 Operating Statement of Act'!G122</f>
        <v>0</v>
      </c>
      <c r="J122" s="551">
        <f>+'Yr 4 Operating Statement of Act'!G122</f>
        <v>0</v>
      </c>
      <c r="K122" s="552"/>
      <c r="L122" s="268"/>
    </row>
    <row r="123" spans="1:14" x14ac:dyDescent="0.2">
      <c r="A123" s="225">
        <v>78</v>
      </c>
      <c r="B123" s="37"/>
      <c r="C123" s="86" t="s">
        <v>283</v>
      </c>
      <c r="D123" s="10"/>
      <c r="E123" s="19"/>
      <c r="F123" s="20"/>
      <c r="G123" s="553"/>
      <c r="H123" s="551"/>
      <c r="I123" s="551"/>
      <c r="J123" s="551"/>
      <c r="K123" s="552"/>
      <c r="L123" s="268"/>
    </row>
    <row r="124" spans="1:14" x14ac:dyDescent="0.2">
      <c r="A124" s="225">
        <v>79</v>
      </c>
      <c r="B124" s="37"/>
      <c r="C124" s="86"/>
      <c r="D124" s="10"/>
      <c r="E124" s="19"/>
      <c r="F124" s="20"/>
      <c r="G124" s="553"/>
      <c r="H124" s="551"/>
      <c r="I124" s="551"/>
      <c r="J124" s="551"/>
      <c r="K124" s="552"/>
      <c r="L124" s="268"/>
    </row>
    <row r="125" spans="1:14" x14ac:dyDescent="0.2">
      <c r="A125" s="225">
        <v>80</v>
      </c>
      <c r="B125" s="37"/>
      <c r="C125" s="86"/>
      <c r="D125" s="10"/>
      <c r="E125" s="19"/>
      <c r="F125" s="20"/>
      <c r="G125" s="553"/>
      <c r="H125" s="551"/>
      <c r="I125" s="551"/>
      <c r="J125" s="551"/>
      <c r="K125" s="552"/>
      <c r="L125" s="268"/>
    </row>
    <row r="126" spans="1:14" x14ac:dyDescent="0.2">
      <c r="A126" s="225">
        <v>81</v>
      </c>
      <c r="C126" s="3"/>
      <c r="E126" s="15"/>
      <c r="F126" s="16"/>
      <c r="G126" s="557"/>
      <c r="H126" s="558"/>
      <c r="I126" s="558"/>
      <c r="J126" s="558"/>
      <c r="K126" s="559"/>
      <c r="L126" s="283"/>
    </row>
    <row r="127" spans="1:14" ht="15" x14ac:dyDescent="0.25">
      <c r="A127" s="226">
        <v>82</v>
      </c>
      <c r="B127" s="88" t="s">
        <v>7</v>
      </c>
      <c r="C127" s="52"/>
      <c r="D127" s="52"/>
      <c r="E127" s="50"/>
      <c r="F127" s="51"/>
      <c r="G127" s="554">
        <f>SUM(G105:G126)</f>
        <v>357068.23126425466</v>
      </c>
      <c r="H127" s="555">
        <f>SUM(H105:H126)</f>
        <v>492406.46861922252</v>
      </c>
      <c r="I127" s="555">
        <f>SUM(I105:I126)</f>
        <v>723952.2735039019</v>
      </c>
      <c r="J127" s="555">
        <f>SUM(J105:J126)</f>
        <v>887514.79868106486</v>
      </c>
      <c r="K127" s="556">
        <f>SUM(K105:K126)</f>
        <v>903441.86502371402</v>
      </c>
      <c r="L127" s="271"/>
    </row>
    <row r="128" spans="1:14" x14ac:dyDescent="0.2">
      <c r="A128" s="225"/>
      <c r="E128" s="15"/>
      <c r="F128" s="16"/>
      <c r="G128" s="545"/>
      <c r="H128" s="546"/>
      <c r="I128" s="546"/>
      <c r="J128" s="546"/>
      <c r="K128" s="547"/>
      <c r="L128" s="283"/>
    </row>
    <row r="129" spans="1:14" x14ac:dyDescent="0.2">
      <c r="A129" s="223"/>
      <c r="B129" s="112" t="s">
        <v>276</v>
      </c>
      <c r="C129" s="113"/>
      <c r="D129" s="114"/>
      <c r="E129" s="62"/>
      <c r="F129" s="63"/>
      <c r="G129" s="548"/>
      <c r="H129" s="549"/>
      <c r="I129" s="549"/>
      <c r="J129" s="549"/>
      <c r="K129" s="550"/>
      <c r="L129" s="267"/>
    </row>
    <row r="130" spans="1:14" s="5" customFormat="1" ht="14.25" customHeight="1" x14ac:dyDescent="0.25">
      <c r="A130" s="228"/>
      <c r="B130" s="90" t="s">
        <v>275</v>
      </c>
      <c r="C130" s="111"/>
      <c r="D130" s="111"/>
      <c r="E130" s="78"/>
      <c r="F130" s="79"/>
      <c r="G130" s="391"/>
      <c r="H130" s="392"/>
      <c r="I130" s="392"/>
      <c r="J130" s="392"/>
      <c r="K130" s="393"/>
      <c r="L130" s="286"/>
    </row>
    <row r="131" spans="1:14" s="5" customFormat="1" ht="13.5" customHeight="1" x14ac:dyDescent="0.25">
      <c r="A131" s="225"/>
      <c r="B131" s="80"/>
      <c r="C131" s="10" t="s">
        <v>76</v>
      </c>
      <c r="E131" s="62"/>
      <c r="F131" s="63"/>
      <c r="G131" s="391"/>
      <c r="H131" s="392"/>
      <c r="I131" s="392"/>
      <c r="J131" s="392"/>
      <c r="K131" s="393"/>
      <c r="L131" s="267"/>
    </row>
    <row r="132" spans="1:14" x14ac:dyDescent="0.2">
      <c r="A132" s="225">
        <v>83</v>
      </c>
      <c r="B132" s="37"/>
      <c r="C132" s="10"/>
      <c r="D132" s="10" t="s">
        <v>117</v>
      </c>
      <c r="E132" s="19">
        <v>112</v>
      </c>
      <c r="F132" s="20" t="s">
        <v>221</v>
      </c>
      <c r="G132" s="527">
        <f>+'Yr 1 Operating Statement of Act'!G132</f>
        <v>101000</v>
      </c>
      <c r="H132" s="551">
        <f>+'Yr 2 Operating Statement of Act'!G132</f>
        <v>102767.5</v>
      </c>
      <c r="I132" s="551">
        <f>+'Yr 3 Operating Statement of Act'!G132</f>
        <v>209131.86250000002</v>
      </c>
      <c r="J132" s="551">
        <f>+'Yr 4 Operating Statement of Act'!G132</f>
        <v>212791.67009375003</v>
      </c>
      <c r="K132" s="552">
        <f>+J132*(1+$M132)</f>
        <v>216515.52432039066</v>
      </c>
      <c r="L132" s="268"/>
      <c r="M132" s="354">
        <f>+$M$79</f>
        <v>1.7500000000000002E-2</v>
      </c>
    </row>
    <row r="133" spans="1:14" x14ac:dyDescent="0.2">
      <c r="A133" s="225">
        <v>84</v>
      </c>
      <c r="B133" s="37"/>
      <c r="C133" s="10"/>
      <c r="D133" s="10" t="s">
        <v>78</v>
      </c>
      <c r="E133" s="19">
        <v>115</v>
      </c>
      <c r="F133" s="20" t="s">
        <v>221</v>
      </c>
      <c r="G133" s="527">
        <f>+'Yr 1 Operating Statement of Act'!G133</f>
        <v>0</v>
      </c>
      <c r="H133" s="551">
        <f>+'Yr 2 Operating Statement of Act'!G133</f>
        <v>0</v>
      </c>
      <c r="I133" s="551">
        <f>+'Yr 3 Operating Statement of Act'!G133</f>
        <v>0</v>
      </c>
      <c r="J133" s="551">
        <f>+'Yr 4 Operating Statement of Act'!G133</f>
        <v>0</v>
      </c>
      <c r="K133" s="552"/>
      <c r="L133" s="268"/>
    </row>
    <row r="134" spans="1:14" x14ac:dyDescent="0.2">
      <c r="A134" s="225">
        <v>85</v>
      </c>
      <c r="B134" s="37"/>
      <c r="C134" s="10"/>
      <c r="D134" s="10" t="s">
        <v>81</v>
      </c>
      <c r="E134" s="19">
        <v>123</v>
      </c>
      <c r="F134" s="20" t="s">
        <v>221</v>
      </c>
      <c r="G134" s="527">
        <f>+'Yr 1 Operating Statement of Act'!G134</f>
        <v>0</v>
      </c>
      <c r="H134" s="551">
        <f>+'Yr 2 Operating Statement of Act'!G134</f>
        <v>0</v>
      </c>
      <c r="I134" s="551">
        <f>+'Yr 3 Operating Statement of Act'!G134</f>
        <v>0</v>
      </c>
      <c r="J134" s="551">
        <f>+'Yr 4 Operating Statement of Act'!G134</f>
        <v>0</v>
      </c>
      <c r="K134" s="552"/>
      <c r="L134" s="268"/>
    </row>
    <row r="135" spans="1:14" x14ac:dyDescent="0.2">
      <c r="A135" s="225">
        <v>86</v>
      </c>
      <c r="B135" s="37"/>
      <c r="C135" s="10" t="s">
        <v>83</v>
      </c>
      <c r="D135" s="10"/>
      <c r="E135" s="19" t="s">
        <v>84</v>
      </c>
      <c r="F135" s="20" t="s">
        <v>221</v>
      </c>
      <c r="G135" s="527">
        <f>+'Yr 1 Operating Statement of Act'!G135</f>
        <v>0</v>
      </c>
      <c r="H135" s="527">
        <f>+'Yr 2 Operating Statement of Act'!G135</f>
        <v>0</v>
      </c>
      <c r="I135" s="527">
        <f>+'Yr 3 Operating Statement of Act'!G135</f>
        <v>0</v>
      </c>
      <c r="J135" s="527">
        <f>+'Yr 4 Operating Statement of Act'!G135</f>
        <v>0</v>
      </c>
      <c r="K135" s="530">
        <f>+J135*(1+$M135)</f>
        <v>0</v>
      </c>
      <c r="L135" s="268"/>
      <c r="M135" s="354">
        <f>+$M$82</f>
        <v>0.02</v>
      </c>
    </row>
    <row r="136" spans="1:14" x14ac:dyDescent="0.2">
      <c r="A136" s="225">
        <v>87</v>
      </c>
      <c r="B136" s="37"/>
      <c r="C136" s="10" t="s">
        <v>85</v>
      </c>
      <c r="D136" s="10"/>
      <c r="E136" s="19">
        <v>430</v>
      </c>
      <c r="F136" s="20" t="s">
        <v>221</v>
      </c>
      <c r="G136" s="527">
        <f>+'Yr 1 Operating Statement of Act'!G136</f>
        <v>0</v>
      </c>
      <c r="H136" s="551">
        <f>+'Yr 2 Operating Statement of Act'!G136</f>
        <v>0</v>
      </c>
      <c r="I136" s="551">
        <f>+'Yr 3 Operating Statement of Act'!G136</f>
        <v>0</v>
      </c>
      <c r="J136" s="551">
        <f>+'Yr 4 Operating Statement of Act'!G136</f>
        <v>0</v>
      </c>
      <c r="K136" s="552"/>
      <c r="L136" s="268"/>
    </row>
    <row r="137" spans="1:14" x14ac:dyDescent="0.2">
      <c r="A137" s="225">
        <v>88</v>
      </c>
      <c r="B137" s="37"/>
      <c r="C137" s="10" t="s">
        <v>87</v>
      </c>
      <c r="D137" s="10"/>
      <c r="E137" s="19" t="s">
        <v>88</v>
      </c>
      <c r="F137" s="20" t="s">
        <v>221</v>
      </c>
      <c r="G137" s="527">
        <f>+'Yr 1 Operating Statement of Act'!G137</f>
        <v>0</v>
      </c>
      <c r="H137" s="551">
        <f>+'Yr 2 Operating Statement of Act'!G137</f>
        <v>0</v>
      </c>
      <c r="I137" s="551">
        <f>+'Yr 3 Operating Statement of Act'!G137</f>
        <v>0</v>
      </c>
      <c r="J137" s="551">
        <f>+'Yr 4 Operating Statement of Act'!G137</f>
        <v>0</v>
      </c>
      <c r="K137" s="552"/>
      <c r="L137" s="268"/>
    </row>
    <row r="138" spans="1:14" x14ac:dyDescent="0.2">
      <c r="A138" s="225"/>
      <c r="B138" s="37"/>
      <c r="C138" s="10" t="s">
        <v>109</v>
      </c>
      <c r="D138" s="10"/>
      <c r="E138" s="62"/>
      <c r="F138" s="63"/>
      <c r="G138" s="548"/>
      <c r="H138" s="549"/>
      <c r="I138" s="549"/>
      <c r="J138" s="549"/>
      <c r="K138" s="550"/>
      <c r="L138" s="267"/>
    </row>
    <row r="139" spans="1:14" x14ac:dyDescent="0.2">
      <c r="A139" s="225">
        <v>89</v>
      </c>
      <c r="B139" s="37"/>
      <c r="C139" s="10"/>
      <c r="D139" s="10" t="s">
        <v>110</v>
      </c>
      <c r="E139" s="19" t="s">
        <v>90</v>
      </c>
      <c r="F139" s="20" t="s">
        <v>221</v>
      </c>
      <c r="G139" s="527">
        <f>+'Yr 1 Operating Statement of Act'!G139</f>
        <v>24957.258064516132</v>
      </c>
      <c r="H139" s="527">
        <f>+'Yr 2 Operating Statement of Act'!G139</f>
        <v>49458.154838709677</v>
      </c>
      <c r="I139" s="527">
        <f>+'Yr 3 Operating Statement of Act'!G139</f>
        <v>74187.232258064527</v>
      </c>
      <c r="J139" s="527">
        <f>+'Yr 4 Operating Statement of Act'!G139</f>
        <v>99128.97974322582</v>
      </c>
      <c r="K139" s="530">
        <f>+J139*(1+$M139)</f>
        <v>101111.55933809034</v>
      </c>
      <c r="L139" s="268"/>
      <c r="M139" s="354">
        <f>+$M$82</f>
        <v>0.02</v>
      </c>
    </row>
    <row r="140" spans="1:14" x14ac:dyDescent="0.2">
      <c r="A140" s="225">
        <v>90</v>
      </c>
      <c r="B140" s="37"/>
      <c r="C140" s="10"/>
      <c r="D140" s="10" t="s">
        <v>91</v>
      </c>
      <c r="E140" s="19" t="s">
        <v>92</v>
      </c>
      <c r="F140" s="20" t="s">
        <v>221</v>
      </c>
      <c r="G140" s="527">
        <f>+'Yr 1 Operating Statement of Act'!G140</f>
        <v>1659.6774193548388</v>
      </c>
      <c r="H140" s="527">
        <f>+'Yr 2 Operating Statement of Act'!G140</f>
        <v>3289.0064516129032</v>
      </c>
      <c r="I140" s="527">
        <f>+'Yr 3 Operating Statement of Act'!G140</f>
        <v>4933.5096774193553</v>
      </c>
      <c r="J140" s="527">
        <f>+'Yr 4 Operating Statement of Act'!G140</f>
        <v>6592.1556309677426</v>
      </c>
      <c r="K140" s="530">
        <f>+J140*(1+$M140)</f>
        <v>6723.9987435870971</v>
      </c>
      <c r="L140" s="268"/>
      <c r="M140" s="354">
        <f>+$M$82</f>
        <v>0.02</v>
      </c>
    </row>
    <row r="141" spans="1:14" x14ac:dyDescent="0.2">
      <c r="A141" s="225">
        <v>91</v>
      </c>
      <c r="B141" s="37"/>
      <c r="C141" s="10" t="s">
        <v>242</v>
      </c>
      <c r="D141" s="10"/>
      <c r="E141" s="19" t="s">
        <v>243</v>
      </c>
      <c r="F141" s="20" t="s">
        <v>221</v>
      </c>
      <c r="G141" s="527">
        <f>+'Yr 1 Operating Statement of Act'!G141</f>
        <v>0</v>
      </c>
      <c r="H141" s="551">
        <f>+'Yr 2 Operating Statement of Act'!G141</f>
        <v>0</v>
      </c>
      <c r="I141" s="551">
        <f>+'Yr 3 Operating Statement of Act'!G141</f>
        <v>0</v>
      </c>
      <c r="J141" s="551">
        <f>+'Yr 4 Operating Statement of Act'!G141</f>
        <v>0</v>
      </c>
      <c r="K141" s="552"/>
      <c r="L141" s="268"/>
    </row>
    <row r="142" spans="1:14" x14ac:dyDescent="0.2">
      <c r="A142" s="225">
        <v>92</v>
      </c>
      <c r="B142" s="37"/>
      <c r="C142" s="10" t="s">
        <v>95</v>
      </c>
      <c r="D142" s="10"/>
      <c r="E142" s="19" t="s">
        <v>96</v>
      </c>
      <c r="F142" s="20" t="s">
        <v>221</v>
      </c>
      <c r="G142" s="527">
        <f>+'Yr 1 Operating Statement of Act'!G142</f>
        <v>846.77419354838707</v>
      </c>
      <c r="H142" s="527">
        <f>+'Yr 2 Operating Statement of Act'!G142</f>
        <v>1678.0645161290322</v>
      </c>
      <c r="I142" s="527">
        <f>+'Yr 3 Operating Statement of Act'!G142</f>
        <v>2517.0967741935483</v>
      </c>
      <c r="J142" s="527">
        <f>+'Yr 4 Operating Statement of Act'!G142</f>
        <v>3363.3447096774198</v>
      </c>
      <c r="K142" s="530">
        <f>+J142*(1+$M142)</f>
        <v>3430.6116038709683</v>
      </c>
      <c r="L142" s="268"/>
      <c r="M142" s="354">
        <f>+$M$82</f>
        <v>0.02</v>
      </c>
    </row>
    <row r="143" spans="1:14" x14ac:dyDescent="0.2">
      <c r="A143" s="225">
        <v>93</v>
      </c>
      <c r="B143" s="37"/>
      <c r="C143" s="10" t="s">
        <v>295</v>
      </c>
      <c r="D143" s="10"/>
      <c r="E143" s="19" t="s">
        <v>97</v>
      </c>
      <c r="F143" s="20" t="s">
        <v>221</v>
      </c>
      <c r="G143" s="527">
        <f>+'Yr 1 Operating Statement of Act'!G143</f>
        <v>7148.1067427909147</v>
      </c>
      <c r="H143" s="551">
        <f>+'Yr 2 Operating Statement of Act'!G143</f>
        <v>7273.1986107897555</v>
      </c>
      <c r="I143" s="551">
        <f>+'Yr 3 Operating Statement of Act'!G143</f>
        <v>14800.959172957153</v>
      </c>
      <c r="J143" s="551">
        <f>+'Yr 4 Operating Statement of Act'!G143</f>
        <v>15059.975958483905</v>
      </c>
      <c r="K143" s="551">
        <f>+K$132*$N143</f>
        <v>15323.525537757374</v>
      </c>
      <c r="L143" s="268"/>
      <c r="N143" s="355">
        <f>'KIPP Assumptions'!$B$105+'KIPP Assumptions'!$B$106+'KIPP Assumptions'!$B$107+'KIPP Assumptions'!$B$108+'KIPP Assumptions'!$B$109</f>
        <v>7.0773334087038758E-2</v>
      </c>
    </row>
    <row r="144" spans="1:14" x14ac:dyDescent="0.2">
      <c r="A144" s="225">
        <v>94</v>
      </c>
      <c r="B144" s="37"/>
      <c r="C144" s="10" t="s">
        <v>98</v>
      </c>
      <c r="D144" s="10"/>
      <c r="E144" s="19" t="s">
        <v>99</v>
      </c>
      <c r="F144" s="20" t="s">
        <v>221</v>
      </c>
      <c r="G144" s="527">
        <f>+'Yr 1 Operating Statement of Act'!G144</f>
        <v>6262</v>
      </c>
      <c r="H144" s="551">
        <f>+'Yr 2 Operating Statement of Act'!G144</f>
        <v>6371.585</v>
      </c>
      <c r="I144" s="551">
        <f>+'Yr 3 Operating Statement of Act'!G144</f>
        <v>12966.175475000002</v>
      </c>
      <c r="J144" s="551">
        <f>+'Yr 4 Operating Statement of Act'!G144</f>
        <v>13193.083545812502</v>
      </c>
      <c r="K144" s="551">
        <f>+K$132*$N144</f>
        <v>13423.96250786422</v>
      </c>
      <c r="L144" s="268"/>
      <c r="N144" s="355">
        <f>'KIPP Assumptions'!$B$111</f>
        <v>6.2E-2</v>
      </c>
    </row>
    <row r="145" spans="1:14" x14ac:dyDescent="0.2">
      <c r="A145" s="225">
        <v>95</v>
      </c>
      <c r="B145" s="37"/>
      <c r="C145" s="10" t="s">
        <v>100</v>
      </c>
      <c r="D145" s="10"/>
      <c r="E145" s="19" t="s">
        <v>101</v>
      </c>
      <c r="F145" s="20" t="s">
        <v>221</v>
      </c>
      <c r="G145" s="527">
        <f>+'Yr 1 Operating Statement of Act'!G145</f>
        <v>1464.5</v>
      </c>
      <c r="H145" s="551">
        <f>+'Yr 2 Operating Statement of Act'!G145</f>
        <v>1490.1287500000001</v>
      </c>
      <c r="I145" s="551">
        <f>+'Yr 3 Operating Statement of Act'!G145</f>
        <v>3032.4120062500006</v>
      </c>
      <c r="J145" s="551">
        <f>+'Yr 4 Operating Statement of Act'!G145</f>
        <v>3085.4792163593756</v>
      </c>
      <c r="K145" s="551">
        <f>+K$132*$N145</f>
        <v>3139.4751026456647</v>
      </c>
      <c r="L145" s="268"/>
      <c r="N145" s="355">
        <f>'KIPP Assumptions'!$B$110</f>
        <v>1.4500000000000001E-2</v>
      </c>
    </row>
    <row r="146" spans="1:14" x14ac:dyDescent="0.2">
      <c r="A146" s="225">
        <v>96</v>
      </c>
      <c r="B146" s="37"/>
      <c r="C146" s="10" t="s">
        <v>219</v>
      </c>
      <c r="D146" s="10"/>
      <c r="E146" s="19" t="s">
        <v>220</v>
      </c>
      <c r="F146" s="20" t="s">
        <v>221</v>
      </c>
      <c r="G146" s="527">
        <f>+'Yr 1 Operating Statement of Act'!G146</f>
        <v>3245.0377689427655</v>
      </c>
      <c r="H146" s="551">
        <f>+'Yr 2 Operating Statement of Act'!G146</f>
        <v>3301.8259298992639</v>
      </c>
      <c r="I146" s="551">
        <f>+'Yr 3 Operating Statement of Act'!G146</f>
        <v>6719.2157673450029</v>
      </c>
      <c r="J146" s="551">
        <f>+'Yr 4 Operating Statement of Act'!G146</f>
        <v>6836.8020432735402</v>
      </c>
      <c r="K146" s="551">
        <f>+K$132*$N146</f>
        <v>6956.4460790308276</v>
      </c>
      <c r="L146" s="268"/>
      <c r="N146" s="355">
        <f>+'KIPP Assumptions'!$B$113</f>
        <v>3.21290868212155E-2</v>
      </c>
    </row>
    <row r="147" spans="1:14" x14ac:dyDescent="0.2">
      <c r="A147" s="225">
        <v>97</v>
      </c>
      <c r="B147" s="37"/>
      <c r="C147" s="10" t="s">
        <v>102</v>
      </c>
      <c r="D147" s="10"/>
      <c r="E147" s="19" t="s">
        <v>103</v>
      </c>
      <c r="F147" s="20" t="s">
        <v>221</v>
      </c>
      <c r="G147" s="527">
        <f>+'Yr 1 Operating Statement of Act'!G147</f>
        <v>101</v>
      </c>
      <c r="H147" s="551">
        <f>+'Yr 2 Operating Statement of Act'!G147</f>
        <v>102.7675</v>
      </c>
      <c r="I147" s="551">
        <f>+'Yr 3 Operating Statement of Act'!G147</f>
        <v>209.13186250000001</v>
      </c>
      <c r="J147" s="551">
        <f>+'Yr 4 Operating Statement of Act'!G147</f>
        <v>212.79167009375004</v>
      </c>
      <c r="K147" s="551">
        <f>+K$132*$N147</f>
        <v>216.51552432039065</v>
      </c>
      <c r="L147" s="268"/>
      <c r="N147" s="355">
        <f>+'KIPP Assumptions'!$B$112</f>
        <v>1E-3</v>
      </c>
    </row>
    <row r="148" spans="1:14" x14ac:dyDescent="0.2">
      <c r="A148" s="225">
        <v>98</v>
      </c>
      <c r="B148" s="37"/>
      <c r="C148" s="10" t="s">
        <v>104</v>
      </c>
      <c r="D148" s="10"/>
      <c r="E148" s="19" t="s">
        <v>105</v>
      </c>
      <c r="F148" s="20" t="s">
        <v>221</v>
      </c>
      <c r="G148" s="527">
        <f>+'Yr 1 Operating Statement of Act'!G148</f>
        <v>0</v>
      </c>
      <c r="H148" s="551">
        <f>+'Yr 2 Operating Statement of Act'!G148</f>
        <v>0</v>
      </c>
      <c r="I148" s="551">
        <f>+'Yr 3 Operating Statement of Act'!G148</f>
        <v>0</v>
      </c>
      <c r="J148" s="551">
        <f>+'Yr 4 Operating Statement of Act'!G148</f>
        <v>0</v>
      </c>
      <c r="K148" s="552"/>
      <c r="L148" s="268"/>
    </row>
    <row r="149" spans="1:14" x14ac:dyDescent="0.2">
      <c r="A149" s="225">
        <v>99</v>
      </c>
      <c r="B149" s="37"/>
      <c r="C149" s="86" t="s">
        <v>283</v>
      </c>
      <c r="D149" s="10"/>
      <c r="E149" s="19"/>
      <c r="F149" s="20"/>
      <c r="G149" s="553"/>
      <c r="H149" s="551"/>
      <c r="I149" s="551"/>
      <c r="J149" s="551"/>
      <c r="K149" s="552"/>
      <c r="L149" s="268"/>
    </row>
    <row r="150" spans="1:14" x14ac:dyDescent="0.2">
      <c r="A150" s="225">
        <v>100</v>
      </c>
      <c r="B150" s="37"/>
      <c r="C150" s="86"/>
      <c r="D150" s="10"/>
      <c r="E150" s="19"/>
      <c r="F150" s="20"/>
      <c r="G150" s="553"/>
      <c r="H150" s="551"/>
      <c r="I150" s="551"/>
      <c r="J150" s="551"/>
      <c r="K150" s="552"/>
      <c r="L150" s="268"/>
    </row>
    <row r="151" spans="1:14" x14ac:dyDescent="0.2">
      <c r="A151" s="225">
        <v>101</v>
      </c>
      <c r="B151" s="37"/>
      <c r="C151" s="86"/>
      <c r="D151" s="10"/>
      <c r="E151" s="19"/>
      <c r="F151" s="20"/>
      <c r="G151" s="553"/>
      <c r="H151" s="551"/>
      <c r="I151" s="551"/>
      <c r="J151" s="551"/>
      <c r="K151" s="552"/>
      <c r="L151" s="268"/>
    </row>
    <row r="152" spans="1:14" ht="15.75" customHeight="1" x14ac:dyDescent="0.2">
      <c r="A152" s="225">
        <v>102</v>
      </c>
      <c r="B152" s="84"/>
      <c r="E152" s="15"/>
      <c r="F152" s="16"/>
      <c r="G152" s="545"/>
      <c r="H152" s="546"/>
      <c r="I152" s="546"/>
      <c r="J152" s="546"/>
      <c r="K152" s="547"/>
      <c r="L152" s="283"/>
    </row>
    <row r="153" spans="1:14" ht="15.75" thickBot="1" x14ac:dyDescent="0.3">
      <c r="A153" s="226">
        <v>103</v>
      </c>
      <c r="B153" s="88" t="s">
        <v>19</v>
      </c>
      <c r="C153" s="52"/>
      <c r="D153" s="52"/>
      <c r="E153" s="50"/>
      <c r="F153" s="51"/>
      <c r="G153" s="554">
        <f>SUM(G132:G152)</f>
        <v>146684.35418915306</v>
      </c>
      <c r="H153" s="555">
        <f>SUM(H132:H152)</f>
        <v>175732.23159714061</v>
      </c>
      <c r="I153" s="555">
        <f>SUM(I132:I152)</f>
        <v>328497.59549372963</v>
      </c>
      <c r="J153" s="555">
        <f>SUM(J132:J152)</f>
        <v>360264.28261164413</v>
      </c>
      <c r="K153" s="556">
        <f>SUM(K132:K152)</f>
        <v>366841.61875755753</v>
      </c>
      <c r="L153" s="271"/>
    </row>
    <row r="154" spans="1:14" ht="15.75" thickBot="1" x14ac:dyDescent="0.3">
      <c r="A154" s="229">
        <v>104</v>
      </c>
      <c r="B154" s="76" t="s">
        <v>24</v>
      </c>
      <c r="C154" s="77"/>
      <c r="D154" s="77"/>
      <c r="E154" s="46"/>
      <c r="F154" s="47"/>
      <c r="G154" s="560">
        <f>G100+G127+G153</f>
        <v>1036973.6243229725</v>
      </c>
      <c r="H154" s="561">
        <f>H100+H127+H153</f>
        <v>1737670.8853223608</v>
      </c>
      <c r="I154" s="561">
        <f>I100+I127+I153</f>
        <v>2637701.0682851602</v>
      </c>
      <c r="J154" s="561">
        <f>J100+J127+J153</f>
        <v>3399301.3862616327</v>
      </c>
      <c r="K154" s="542">
        <f>K100+K127+K153</f>
        <v>3458972.0852781129</v>
      </c>
      <c r="L154" s="287"/>
    </row>
    <row r="155" spans="1:14" ht="4.5" customHeight="1" x14ac:dyDescent="0.2">
      <c r="A155" s="230"/>
      <c r="B155" s="36"/>
      <c r="C155" s="13"/>
      <c r="D155" s="13"/>
      <c r="E155" s="17"/>
      <c r="F155" s="18"/>
      <c r="G155" s="562"/>
      <c r="H155" s="563"/>
      <c r="I155" s="563"/>
      <c r="J155" s="563"/>
      <c r="K155" s="564"/>
      <c r="L155" s="288"/>
    </row>
    <row r="156" spans="1:14" s="5" customFormat="1" ht="15" x14ac:dyDescent="0.25">
      <c r="A156" s="225"/>
      <c r="B156" s="53" t="s">
        <v>22</v>
      </c>
      <c r="C156" s="54"/>
      <c r="D156" s="54"/>
      <c r="E156" s="62"/>
      <c r="F156" s="63"/>
      <c r="G156" s="548"/>
      <c r="H156" s="549"/>
      <c r="I156" s="549"/>
      <c r="J156" s="549"/>
      <c r="K156" s="550"/>
      <c r="L156" s="267"/>
    </row>
    <row r="157" spans="1:14" s="5" customFormat="1" ht="15" x14ac:dyDescent="0.25">
      <c r="A157" s="225"/>
      <c r="B157" s="89" t="s">
        <v>23</v>
      </c>
      <c r="C157" s="54"/>
      <c r="D157" s="54"/>
      <c r="E157" s="62"/>
      <c r="F157" s="63"/>
      <c r="G157" s="548"/>
      <c r="H157" s="549"/>
      <c r="I157" s="549"/>
      <c r="J157" s="549"/>
      <c r="K157" s="550"/>
      <c r="L157" s="267"/>
    </row>
    <row r="158" spans="1:14" x14ac:dyDescent="0.2">
      <c r="A158" s="225">
        <v>105</v>
      </c>
      <c r="B158" s="37"/>
      <c r="C158" s="10" t="s">
        <v>281</v>
      </c>
      <c r="D158" s="10"/>
      <c r="E158" s="19" t="s">
        <v>221</v>
      </c>
      <c r="F158" s="20" t="s">
        <v>240</v>
      </c>
      <c r="G158" s="527">
        <f>+'Yr 1 Operating Statement of Act'!G158</f>
        <v>55000</v>
      </c>
      <c r="H158" s="551">
        <f>+'Yr 2 Operating Statement of Act'!G158</f>
        <v>55962.500000000007</v>
      </c>
      <c r="I158" s="551">
        <f>+'Yr 3 Operating Statement of Act'!G158</f>
        <v>56941.843750000015</v>
      </c>
      <c r="J158" s="551">
        <f>+'Yr 4 Operating Statement of Act'!G158</f>
        <v>57938.326015625018</v>
      </c>
      <c r="K158" s="552">
        <f>+J158*(1+$M158)</f>
        <v>58952.24672089846</v>
      </c>
      <c r="L158" s="268"/>
      <c r="M158" s="354">
        <f>+$M$79</f>
        <v>1.7500000000000002E-2</v>
      </c>
    </row>
    <row r="159" spans="1:14" x14ac:dyDescent="0.2">
      <c r="A159" s="225">
        <v>106</v>
      </c>
      <c r="B159" s="37"/>
      <c r="C159" s="10" t="s">
        <v>8</v>
      </c>
      <c r="D159" s="10"/>
      <c r="E159" s="19" t="s">
        <v>221</v>
      </c>
      <c r="F159" s="20" t="s">
        <v>240</v>
      </c>
      <c r="G159" s="527">
        <f>+'Yr 1 Operating Statement of Act'!G159</f>
        <v>0</v>
      </c>
      <c r="H159" s="551">
        <f>+'Yr 2 Operating Statement of Act'!G159</f>
        <v>0</v>
      </c>
      <c r="I159" s="551">
        <f>+'Yr 3 Operating Statement of Act'!G159</f>
        <v>57977.150000000009</v>
      </c>
      <c r="J159" s="551">
        <f>+'Yr 4 Operating Statement of Act'!G159</f>
        <v>117983.50025000003</v>
      </c>
      <c r="K159" s="552">
        <f>+J159*(1+$M159)</f>
        <v>120048.21150437504</v>
      </c>
      <c r="L159" s="268"/>
      <c r="M159" s="354">
        <f>+$M$79</f>
        <v>1.7500000000000002E-2</v>
      </c>
    </row>
    <row r="160" spans="1:14" x14ac:dyDescent="0.2">
      <c r="A160" s="225">
        <v>107</v>
      </c>
      <c r="B160" s="37"/>
      <c r="C160" s="10" t="s">
        <v>282</v>
      </c>
      <c r="D160" s="10"/>
      <c r="E160" s="19" t="s">
        <v>221</v>
      </c>
      <c r="F160" s="20" t="s">
        <v>240</v>
      </c>
      <c r="G160" s="527">
        <f>+'Yr 1 Operating Statement of Act'!G160</f>
        <v>14000</v>
      </c>
      <c r="H160" s="551">
        <f>+'Yr 2 Operating Statement of Act'!G160</f>
        <v>28490.000000000004</v>
      </c>
      <c r="I160" s="551">
        <f>+'Yr 3 Operating Statement of Act'!G160</f>
        <v>43482.862500000003</v>
      </c>
      <c r="J160" s="551">
        <f>+'Yr 4 Operating Statement of Act'!G160</f>
        <v>58991.750125000013</v>
      </c>
      <c r="K160" s="552">
        <f>+J160*(1+$M160)</f>
        <v>60024.105752187519</v>
      </c>
      <c r="L160" s="268"/>
      <c r="M160" s="354">
        <f>+$M$79</f>
        <v>1.7500000000000002E-2</v>
      </c>
    </row>
    <row r="161" spans="1:14" x14ac:dyDescent="0.2">
      <c r="A161" s="225">
        <v>108</v>
      </c>
      <c r="B161" s="37"/>
      <c r="C161" s="10" t="s">
        <v>120</v>
      </c>
      <c r="D161" s="10"/>
      <c r="E161" s="19" t="s">
        <v>221</v>
      </c>
      <c r="F161" s="20" t="s">
        <v>240</v>
      </c>
      <c r="G161" s="527">
        <f>+'Yr 1 Operating Statement of Act'!G161</f>
        <v>31500</v>
      </c>
      <c r="H161" s="551">
        <f>+'Yr 2 Operating Statement of Act'!G161</f>
        <v>32051.250000000004</v>
      </c>
      <c r="I161" s="551">
        <f>+'Yr 3 Operating Statement of Act'!G161</f>
        <v>32612.146875000006</v>
      </c>
      <c r="J161" s="551">
        <f>+'Yr 4 Operating Statement of Act'!G161</f>
        <v>33182.859445312512</v>
      </c>
      <c r="K161" s="552">
        <f>+J161*(1+$M161)</f>
        <v>33846.516634218766</v>
      </c>
      <c r="L161" s="268"/>
      <c r="M161" s="354">
        <f>+$M$82</f>
        <v>0.02</v>
      </c>
    </row>
    <row r="162" spans="1:14" x14ac:dyDescent="0.2">
      <c r="A162" s="225">
        <v>109</v>
      </c>
      <c r="B162" s="37"/>
      <c r="C162" s="10" t="s">
        <v>295</v>
      </c>
      <c r="D162" s="10"/>
      <c r="E162" s="19" t="s">
        <v>97</v>
      </c>
      <c r="F162" s="20" t="s">
        <v>240</v>
      </c>
      <c r="G162" s="527">
        <f>+'Yr 1 Operating Statement of Act'!G162</f>
        <v>7112.7200757473956</v>
      </c>
      <c r="H162" s="551">
        <f>+'Yr 2 Operating Statement of Act'!G162</f>
        <v>8245.3588211428432</v>
      </c>
      <c r="I162" s="551">
        <f>+'Yr 3 Operating Statement of Act'!G162</f>
        <v>13518.697858468291</v>
      </c>
      <c r="J162" s="551">
        <f>+'Yr 4 Operating Statement of Act'!G162</f>
        <v>18974.078620961158</v>
      </c>
      <c r="K162" s="551">
        <f>SUM(K$158:K$161)*$N162</f>
        <v>19311.996150821695</v>
      </c>
      <c r="L162" s="268"/>
      <c r="N162" s="355">
        <f>'KIPP Assumptions'!$B$105+'KIPP Assumptions'!$B$106+'KIPP Assumptions'!$B$107+'KIPP Assumptions'!$B$108+'KIPP Assumptions'!$B$109</f>
        <v>7.0773334087038758E-2</v>
      </c>
    </row>
    <row r="163" spans="1:14" x14ac:dyDescent="0.2">
      <c r="A163" s="225">
        <v>110</v>
      </c>
      <c r="B163" s="37"/>
      <c r="C163" s="10" t="s">
        <v>98</v>
      </c>
      <c r="D163" s="10"/>
      <c r="E163" s="19" t="s">
        <v>99</v>
      </c>
      <c r="F163" s="20" t="s">
        <v>240</v>
      </c>
      <c r="G163" s="527">
        <f>+'Yr 1 Operating Statement of Act'!G163</f>
        <v>6231</v>
      </c>
      <c r="H163" s="551">
        <f>+'Yr 2 Operating Statement of Act'!G163</f>
        <v>7223.232500000001</v>
      </c>
      <c r="I163" s="551">
        <f>+'Yr 3 Operating Statement of Act'!G163</f>
        <v>11842.868193750001</v>
      </c>
      <c r="J163" s="551">
        <f>+'Yr 4 Operating Statement of Act'!G163</f>
        <v>16621.97902182813</v>
      </c>
      <c r="K163" s="551">
        <f>SUM(K$158:K$161)*$N163</f>
        <v>16918.006997924145</v>
      </c>
      <c r="L163" s="268"/>
      <c r="N163" s="355">
        <f>'KIPP Assumptions'!$B$111</f>
        <v>6.2E-2</v>
      </c>
    </row>
    <row r="164" spans="1:14" x14ac:dyDescent="0.2">
      <c r="A164" s="225">
        <v>111</v>
      </c>
      <c r="B164" s="37"/>
      <c r="C164" s="10" t="s">
        <v>100</v>
      </c>
      <c r="D164" s="10"/>
      <c r="E164" s="19" t="s">
        <v>101</v>
      </c>
      <c r="F164" s="20" t="s">
        <v>240</v>
      </c>
      <c r="G164" s="527">
        <f>+'Yr 1 Operating Statement of Act'!G164</f>
        <v>1457.25</v>
      </c>
      <c r="H164" s="551">
        <f>+'Yr 2 Operating Statement of Act'!G164</f>
        <v>1689.3043750000004</v>
      </c>
      <c r="I164" s="551">
        <f>+'Yr 3 Operating Statement of Act'!G164</f>
        <v>2769.7030453125003</v>
      </c>
      <c r="J164" s="551">
        <f>+'Yr 4 Operating Statement of Act'!G164</f>
        <v>3887.3983196210947</v>
      </c>
      <c r="K164" s="551">
        <f>SUM(K$158:K$161)*$N164</f>
        <v>3956.6306688693567</v>
      </c>
      <c r="L164" s="268"/>
      <c r="N164" s="355">
        <f>'KIPP Assumptions'!$B$110</f>
        <v>1.4500000000000001E-2</v>
      </c>
    </row>
    <row r="165" spans="1:14" x14ac:dyDescent="0.2">
      <c r="A165" s="225">
        <v>112</v>
      </c>
      <c r="B165" s="37"/>
      <c r="C165" s="10" t="s">
        <v>219</v>
      </c>
      <c r="D165" s="10"/>
      <c r="E165" s="19" t="s">
        <v>220</v>
      </c>
      <c r="F165" s="20" t="s">
        <v>240</v>
      </c>
      <c r="G165" s="527">
        <f>+'Yr 1 Operating Statement of Act'!G165</f>
        <v>3228.9732255321578</v>
      </c>
      <c r="H165" s="551">
        <f>+'Yr 2 Operating Statement of Act'!G165</f>
        <v>3743.1590987471859</v>
      </c>
      <c r="I165" s="551">
        <f>+'Yr 3 Operating Statement of Act'!G165</f>
        <v>6137.1054904710545</v>
      </c>
      <c r="J165" s="551">
        <f>+'Yr 4 Operating Statement of Act'!G165</f>
        <v>8613.6936634312679</v>
      </c>
      <c r="K165" s="551">
        <f>SUM(K$158:K$161)*$N165</f>
        <v>8767.098639971553</v>
      </c>
      <c r="L165" s="268"/>
      <c r="N165" s="355">
        <f>+'KIPP Assumptions'!$B$113</f>
        <v>3.21290868212155E-2</v>
      </c>
    </row>
    <row r="166" spans="1:14" x14ac:dyDescent="0.2">
      <c r="A166" s="225">
        <v>113</v>
      </c>
      <c r="B166" s="37"/>
      <c r="C166" s="10" t="s">
        <v>102</v>
      </c>
      <c r="D166" s="10"/>
      <c r="E166" s="19" t="s">
        <v>103</v>
      </c>
      <c r="F166" s="20" t="s">
        <v>240</v>
      </c>
      <c r="G166" s="527">
        <f>+'Yr 1 Operating Statement of Act'!G166</f>
        <v>100.5</v>
      </c>
      <c r="H166" s="551">
        <f>+'Yr 2 Operating Statement of Act'!G166</f>
        <v>116.50375000000001</v>
      </c>
      <c r="I166" s="551">
        <f>+'Yr 3 Operating Statement of Act'!G166</f>
        <v>191.01400312500002</v>
      </c>
      <c r="J166" s="551">
        <f>+'Yr 4 Operating Statement of Act'!G166</f>
        <v>268.09643583593754</v>
      </c>
      <c r="K166" s="551">
        <f>SUM(K$158:K$161)*$N166</f>
        <v>272.87108061167976</v>
      </c>
      <c r="L166" s="268"/>
      <c r="N166" s="355">
        <f>+'KIPP Assumptions'!$B$112</f>
        <v>1E-3</v>
      </c>
    </row>
    <row r="167" spans="1:14" x14ac:dyDescent="0.2">
      <c r="A167" s="225">
        <v>114</v>
      </c>
      <c r="B167" s="37"/>
      <c r="C167" s="10" t="s">
        <v>104</v>
      </c>
      <c r="D167" s="10"/>
      <c r="E167" s="19" t="s">
        <v>105</v>
      </c>
      <c r="F167" s="20" t="s">
        <v>240</v>
      </c>
      <c r="G167" s="527">
        <f>+'Yr 1 Operating Statement of Act'!G167</f>
        <v>0</v>
      </c>
      <c r="H167" s="551">
        <f>+'Yr 2 Operating Statement of Act'!G167</f>
        <v>0</v>
      </c>
      <c r="I167" s="551">
        <f>+'Yr 3 Operating Statement of Act'!G167</f>
        <v>0</v>
      </c>
      <c r="J167" s="551">
        <f>+'Yr 4 Operating Statement of Act'!G167</f>
        <v>0</v>
      </c>
      <c r="K167" s="552"/>
      <c r="L167" s="268"/>
    </row>
    <row r="168" spans="1:14" x14ac:dyDescent="0.2">
      <c r="A168" s="225">
        <v>115</v>
      </c>
      <c r="B168" s="37"/>
      <c r="C168" s="86" t="s">
        <v>283</v>
      </c>
      <c r="D168" s="10"/>
      <c r="E168" s="19"/>
      <c r="F168" s="20"/>
      <c r="G168" s="553"/>
      <c r="H168" s="551"/>
      <c r="I168" s="551"/>
      <c r="J168" s="551"/>
      <c r="K168" s="552"/>
      <c r="L168" s="268"/>
    </row>
    <row r="169" spans="1:14" x14ac:dyDescent="0.2">
      <c r="A169" s="225">
        <v>116</v>
      </c>
      <c r="B169" s="37"/>
      <c r="C169" s="86"/>
      <c r="D169" s="10"/>
      <c r="E169" s="19"/>
      <c r="F169" s="20"/>
      <c r="G169" s="553"/>
      <c r="H169" s="551"/>
      <c r="I169" s="551"/>
      <c r="J169" s="551"/>
      <c r="K169" s="552"/>
      <c r="L169" s="268"/>
    </row>
    <row r="170" spans="1:14" x14ac:dyDescent="0.2">
      <c r="A170" s="225">
        <v>117</v>
      </c>
      <c r="B170" s="84"/>
      <c r="C170" s="85"/>
      <c r="D170" s="14"/>
      <c r="E170" s="15"/>
      <c r="F170" s="16"/>
      <c r="G170" s="545"/>
      <c r="H170" s="546"/>
      <c r="I170" s="546"/>
      <c r="J170" s="546"/>
      <c r="K170" s="547"/>
      <c r="L170" s="283"/>
    </row>
    <row r="171" spans="1:14" ht="15" x14ac:dyDescent="0.25">
      <c r="A171" s="226">
        <v>118</v>
      </c>
      <c r="B171" s="88" t="s">
        <v>121</v>
      </c>
      <c r="C171" s="52"/>
      <c r="D171" s="52"/>
      <c r="E171" s="50"/>
      <c r="F171" s="51"/>
      <c r="G171" s="554">
        <f>SUM(G158:G170)</f>
        <v>118630.44330127955</v>
      </c>
      <c r="H171" s="555">
        <f>SUM(H158:H170)</f>
        <v>137521.30854489005</v>
      </c>
      <c r="I171" s="555">
        <f>SUM(I158:I170)</f>
        <v>225473.39171612685</v>
      </c>
      <c r="J171" s="555">
        <f>SUM(J158:J170)</f>
        <v>316461.6818976152</v>
      </c>
      <c r="K171" s="556">
        <f>SUM(K158:K170)</f>
        <v>322097.68414987816</v>
      </c>
      <c r="L171" s="271"/>
    </row>
    <row r="172" spans="1:14" ht="9" customHeight="1" x14ac:dyDescent="0.2">
      <c r="A172" s="230"/>
      <c r="B172" s="36"/>
      <c r="C172" s="13"/>
      <c r="D172" s="13"/>
      <c r="E172" s="17"/>
      <c r="F172" s="18"/>
      <c r="G172" s="562"/>
      <c r="H172" s="563"/>
      <c r="I172" s="563"/>
      <c r="J172" s="563"/>
      <c r="K172" s="564"/>
      <c r="L172" s="288"/>
    </row>
    <row r="173" spans="1:14" s="5" customFormat="1" ht="15" x14ac:dyDescent="0.25">
      <c r="A173" s="225"/>
      <c r="B173" s="89" t="s">
        <v>25</v>
      </c>
      <c r="C173" s="54"/>
      <c r="D173" s="54"/>
      <c r="E173" s="62"/>
      <c r="F173" s="63"/>
      <c r="G173" s="548"/>
      <c r="H173" s="549"/>
      <c r="I173" s="549"/>
      <c r="J173" s="549"/>
      <c r="K173" s="550"/>
      <c r="L173" s="267"/>
    </row>
    <row r="174" spans="1:14" x14ac:dyDescent="0.2">
      <c r="A174" s="225">
        <v>119</v>
      </c>
      <c r="B174" s="37"/>
      <c r="C174" s="10" t="s">
        <v>241</v>
      </c>
      <c r="D174" s="10"/>
      <c r="E174" s="19">
        <v>111</v>
      </c>
      <c r="F174" s="20" t="s">
        <v>265</v>
      </c>
      <c r="G174" s="527">
        <f>+'Yr 1 Operating Statement of Act'!G174</f>
        <v>0</v>
      </c>
      <c r="H174" s="551">
        <f>+'Yr 2 Operating Statement of Act'!G174</f>
        <v>0</v>
      </c>
      <c r="I174" s="551">
        <f>+'Yr 3 Operating Statement of Act'!G174</f>
        <v>0</v>
      </c>
      <c r="J174" s="551">
        <f>+'Yr 4 Operating Statement of Act'!G174</f>
        <v>0</v>
      </c>
      <c r="K174" s="552"/>
      <c r="L174" s="268"/>
    </row>
    <row r="175" spans="1:14" x14ac:dyDescent="0.2">
      <c r="A175" s="225">
        <v>120</v>
      </c>
      <c r="B175" s="37"/>
      <c r="C175" s="10" t="s">
        <v>122</v>
      </c>
      <c r="D175" s="10"/>
      <c r="E175" s="19" t="s">
        <v>221</v>
      </c>
      <c r="F175" s="20" t="s">
        <v>265</v>
      </c>
      <c r="G175" s="527">
        <f>+'Yr 1 Operating Statement of Act'!G175</f>
        <v>20000</v>
      </c>
      <c r="H175" s="527">
        <f>+'Yr 2 Operating Statement of Act'!G175</f>
        <v>20400</v>
      </c>
      <c r="I175" s="527">
        <f>+'Yr 3 Operating Statement of Act'!G175</f>
        <v>20808</v>
      </c>
      <c r="J175" s="527">
        <f>+'Yr 4 Operating Statement of Act'!G175</f>
        <v>21224.16</v>
      </c>
      <c r="K175" s="530">
        <f>+J175*(1+$M175)</f>
        <v>21648.643199999999</v>
      </c>
      <c r="L175" s="268"/>
      <c r="M175" s="354">
        <f>+$M$82</f>
        <v>0.02</v>
      </c>
    </row>
    <row r="176" spans="1:14" x14ac:dyDescent="0.2">
      <c r="A176" s="225">
        <v>121</v>
      </c>
      <c r="B176" s="37"/>
      <c r="C176" s="10" t="s">
        <v>266</v>
      </c>
      <c r="D176" s="10"/>
      <c r="E176" s="19" t="s">
        <v>224</v>
      </c>
      <c r="F176" s="20" t="s">
        <v>265</v>
      </c>
      <c r="G176" s="527">
        <f>+'Yr 1 Operating Statement of Act'!G176</f>
        <v>0</v>
      </c>
      <c r="H176" s="551">
        <f>+'Yr 2 Operating Statement of Act'!G176</f>
        <v>0</v>
      </c>
      <c r="I176" s="551">
        <f>+'Yr 3 Operating Statement of Act'!G176</f>
        <v>0</v>
      </c>
      <c r="J176" s="551">
        <f>+'Yr 4 Operating Statement of Act'!G176</f>
        <v>0</v>
      </c>
      <c r="K176" s="552"/>
      <c r="L176" s="268"/>
    </row>
    <row r="177" spans="1:13" x14ac:dyDescent="0.2">
      <c r="A177" s="225">
        <v>122</v>
      </c>
      <c r="B177" s="37"/>
      <c r="C177" s="10" t="s">
        <v>123</v>
      </c>
      <c r="D177" s="10"/>
      <c r="E177" s="19" t="s">
        <v>221</v>
      </c>
      <c r="F177" s="20">
        <v>2230</v>
      </c>
      <c r="G177" s="527">
        <f>+'Yr 1 Operating Statement of Act'!G177</f>
        <v>0</v>
      </c>
      <c r="H177" s="551">
        <f>+'Yr 2 Operating Statement of Act'!G177</f>
        <v>0</v>
      </c>
      <c r="I177" s="551">
        <f>+'Yr 3 Operating Statement of Act'!G177</f>
        <v>0</v>
      </c>
      <c r="J177" s="551">
        <f>+'Yr 4 Operating Statement of Act'!G177</f>
        <v>0</v>
      </c>
      <c r="K177" s="552"/>
      <c r="L177" s="268"/>
    </row>
    <row r="178" spans="1:13" x14ac:dyDescent="0.2">
      <c r="A178" s="225">
        <v>123</v>
      </c>
      <c r="B178" s="37"/>
      <c r="C178" s="10" t="s">
        <v>124</v>
      </c>
      <c r="D178" s="10"/>
      <c r="E178" s="19" t="s">
        <v>221</v>
      </c>
      <c r="F178" s="20" t="s">
        <v>265</v>
      </c>
      <c r="G178" s="527">
        <f>+'Yr 1 Operating Statement of Act'!G178</f>
        <v>0</v>
      </c>
      <c r="H178" s="551">
        <f>+'Yr 2 Operating Statement of Act'!G178</f>
        <v>0</v>
      </c>
      <c r="I178" s="551">
        <f>+'Yr 3 Operating Statement of Act'!G178</f>
        <v>0</v>
      </c>
      <c r="J178" s="551">
        <f>+'Yr 4 Operating Statement of Act'!G178</f>
        <v>0</v>
      </c>
      <c r="K178" s="552"/>
      <c r="L178" s="268"/>
    </row>
    <row r="179" spans="1:13" x14ac:dyDescent="0.2">
      <c r="A179" s="225">
        <v>124</v>
      </c>
      <c r="B179" s="37"/>
      <c r="C179" s="10" t="s">
        <v>295</v>
      </c>
      <c r="D179" s="10"/>
      <c r="E179" s="19" t="s">
        <v>97</v>
      </c>
      <c r="F179" s="20" t="s">
        <v>265</v>
      </c>
      <c r="G179" s="527">
        <f>+'Yr 1 Operating Statement of Act'!G179</f>
        <v>0</v>
      </c>
      <c r="H179" s="551">
        <f>+'Yr 2 Operating Statement of Act'!G179</f>
        <v>0</v>
      </c>
      <c r="I179" s="551">
        <f>+'Yr 3 Operating Statement of Act'!G179</f>
        <v>0</v>
      </c>
      <c r="J179" s="551">
        <f>+'Yr 4 Operating Statement of Act'!G179</f>
        <v>0</v>
      </c>
      <c r="K179" s="552"/>
      <c r="L179" s="268"/>
    </row>
    <row r="180" spans="1:13" x14ac:dyDescent="0.2">
      <c r="A180" s="225">
        <v>125</v>
      </c>
      <c r="B180" s="37"/>
      <c r="C180" s="10" t="s">
        <v>98</v>
      </c>
      <c r="D180" s="10"/>
      <c r="E180" s="19" t="s">
        <v>99</v>
      </c>
      <c r="F180" s="20" t="s">
        <v>265</v>
      </c>
      <c r="G180" s="527">
        <f>+'Yr 1 Operating Statement of Act'!G180</f>
        <v>0</v>
      </c>
      <c r="H180" s="551">
        <f>+'Yr 2 Operating Statement of Act'!G180</f>
        <v>0</v>
      </c>
      <c r="I180" s="551">
        <f>+'Yr 3 Operating Statement of Act'!G180</f>
        <v>0</v>
      </c>
      <c r="J180" s="551">
        <f>+'Yr 4 Operating Statement of Act'!G180</f>
        <v>0</v>
      </c>
      <c r="K180" s="552"/>
      <c r="L180" s="268"/>
    </row>
    <row r="181" spans="1:13" x14ac:dyDescent="0.2">
      <c r="A181" s="225">
        <v>126</v>
      </c>
      <c r="B181" s="37"/>
      <c r="C181" s="10" t="s">
        <v>100</v>
      </c>
      <c r="D181" s="10"/>
      <c r="E181" s="19" t="s">
        <v>101</v>
      </c>
      <c r="F181" s="20" t="s">
        <v>265</v>
      </c>
      <c r="G181" s="527">
        <f>+'Yr 1 Operating Statement of Act'!G181</f>
        <v>0</v>
      </c>
      <c r="H181" s="551">
        <f>+'Yr 2 Operating Statement of Act'!G181</f>
        <v>0</v>
      </c>
      <c r="I181" s="551">
        <f>+'Yr 3 Operating Statement of Act'!G181</f>
        <v>0</v>
      </c>
      <c r="J181" s="551">
        <f>+'Yr 4 Operating Statement of Act'!G181</f>
        <v>0</v>
      </c>
      <c r="K181" s="552"/>
      <c r="L181" s="268"/>
    </row>
    <row r="182" spans="1:13" x14ac:dyDescent="0.2">
      <c r="A182" s="225">
        <v>127</v>
      </c>
      <c r="B182" s="37"/>
      <c r="C182" s="10" t="s">
        <v>219</v>
      </c>
      <c r="D182" s="10"/>
      <c r="E182" s="19" t="s">
        <v>220</v>
      </c>
      <c r="F182" s="20" t="s">
        <v>265</v>
      </c>
      <c r="G182" s="527">
        <f>+'Yr 1 Operating Statement of Act'!G182</f>
        <v>0</v>
      </c>
      <c r="H182" s="551">
        <f>+'Yr 2 Operating Statement of Act'!G182</f>
        <v>0</v>
      </c>
      <c r="I182" s="551">
        <f>+'Yr 3 Operating Statement of Act'!G182</f>
        <v>0</v>
      </c>
      <c r="J182" s="551">
        <f>+'Yr 4 Operating Statement of Act'!G182</f>
        <v>0</v>
      </c>
      <c r="K182" s="552"/>
      <c r="L182" s="268"/>
    </row>
    <row r="183" spans="1:13" x14ac:dyDescent="0.2">
      <c r="A183" s="225">
        <v>128</v>
      </c>
      <c r="B183" s="37"/>
      <c r="C183" s="10" t="s">
        <v>102</v>
      </c>
      <c r="D183" s="10"/>
      <c r="E183" s="19" t="s">
        <v>103</v>
      </c>
      <c r="F183" s="20" t="s">
        <v>265</v>
      </c>
      <c r="G183" s="527">
        <f>+'Yr 1 Operating Statement of Act'!G183</f>
        <v>0</v>
      </c>
      <c r="H183" s="551">
        <f>+'Yr 2 Operating Statement of Act'!G183</f>
        <v>0</v>
      </c>
      <c r="I183" s="551">
        <f>+'Yr 3 Operating Statement of Act'!G183</f>
        <v>0</v>
      </c>
      <c r="J183" s="551">
        <f>+'Yr 4 Operating Statement of Act'!G183</f>
        <v>0</v>
      </c>
      <c r="K183" s="552"/>
      <c r="L183" s="268"/>
    </row>
    <row r="184" spans="1:13" x14ac:dyDescent="0.2">
      <c r="A184" s="225">
        <v>129</v>
      </c>
      <c r="B184" s="37"/>
      <c r="C184" s="10" t="s">
        <v>104</v>
      </c>
      <c r="D184" s="10"/>
      <c r="E184" s="19" t="s">
        <v>105</v>
      </c>
      <c r="F184" s="20" t="s">
        <v>265</v>
      </c>
      <c r="G184" s="527">
        <f>+'Yr 1 Operating Statement of Act'!G184</f>
        <v>0</v>
      </c>
      <c r="H184" s="551">
        <f>+'Yr 2 Operating Statement of Act'!G184</f>
        <v>0</v>
      </c>
      <c r="I184" s="551">
        <f>+'Yr 3 Operating Statement of Act'!G184</f>
        <v>0</v>
      </c>
      <c r="J184" s="551">
        <f>+'Yr 4 Operating Statement of Act'!G184</f>
        <v>0</v>
      </c>
      <c r="K184" s="552"/>
      <c r="L184" s="268"/>
    </row>
    <row r="185" spans="1:13" x14ac:dyDescent="0.2">
      <c r="A185" s="225">
        <v>130</v>
      </c>
      <c r="B185" s="37"/>
      <c r="C185" s="86" t="s">
        <v>283</v>
      </c>
      <c r="D185" s="10"/>
      <c r="E185" s="19"/>
      <c r="F185" s="20"/>
      <c r="G185" s="553"/>
      <c r="H185" s="551"/>
      <c r="I185" s="551"/>
      <c r="J185" s="551"/>
      <c r="K185" s="552"/>
      <c r="L185" s="268"/>
    </row>
    <row r="186" spans="1:13" x14ac:dyDescent="0.2">
      <c r="A186" s="225">
        <v>131</v>
      </c>
      <c r="B186" s="37"/>
      <c r="C186" s="86"/>
      <c r="D186" s="10"/>
      <c r="E186" s="19"/>
      <c r="F186" s="20"/>
      <c r="G186" s="553"/>
      <c r="H186" s="551"/>
      <c r="I186" s="551"/>
      <c r="J186" s="551"/>
      <c r="K186" s="552"/>
      <c r="L186" s="268"/>
    </row>
    <row r="187" spans="1:13" x14ac:dyDescent="0.2">
      <c r="A187" s="225">
        <v>132</v>
      </c>
      <c r="B187" s="84"/>
      <c r="D187" s="14"/>
      <c r="E187" s="15"/>
      <c r="F187" s="16"/>
      <c r="G187" s="545"/>
      <c r="H187" s="546"/>
      <c r="I187" s="546"/>
      <c r="J187" s="546"/>
      <c r="K187" s="547"/>
      <c r="L187" s="283"/>
    </row>
    <row r="188" spans="1:13" ht="15" x14ac:dyDescent="0.25">
      <c r="A188" s="226">
        <v>133</v>
      </c>
      <c r="B188" s="88" t="s">
        <v>125</v>
      </c>
      <c r="C188" s="52"/>
      <c r="D188" s="52"/>
      <c r="E188" s="50"/>
      <c r="F188" s="51"/>
      <c r="G188" s="554">
        <f>SUM(G174:G187)</f>
        <v>20000</v>
      </c>
      <c r="H188" s="555">
        <f>SUM(H174:H187)</f>
        <v>20400</v>
      </c>
      <c r="I188" s="555">
        <f>SUM(I174:I187)</f>
        <v>20808</v>
      </c>
      <c r="J188" s="555">
        <f>SUM(J174:J187)</f>
        <v>21224.16</v>
      </c>
      <c r="K188" s="556">
        <f>SUM(K174:K187)</f>
        <v>21648.643199999999</v>
      </c>
      <c r="L188" s="271"/>
    </row>
    <row r="189" spans="1:13" ht="4.5" customHeight="1" x14ac:dyDescent="0.2">
      <c r="A189" s="230"/>
      <c r="B189" s="36"/>
      <c r="C189" s="13"/>
      <c r="D189" s="13"/>
      <c r="E189" s="17"/>
      <c r="F189" s="18"/>
      <c r="G189" s="562"/>
      <c r="H189" s="563"/>
      <c r="I189" s="563"/>
      <c r="J189" s="563"/>
      <c r="K189" s="564"/>
      <c r="L189" s="288"/>
    </row>
    <row r="190" spans="1:13" s="5" customFormat="1" ht="15" x14ac:dyDescent="0.25">
      <c r="A190" s="225"/>
      <c r="B190" s="89" t="s">
        <v>292</v>
      </c>
      <c r="C190" s="54"/>
      <c r="D190" s="54"/>
      <c r="E190" s="62"/>
      <c r="F190" s="63"/>
      <c r="G190" s="548"/>
      <c r="H190" s="549"/>
      <c r="I190" s="549"/>
      <c r="J190" s="549"/>
      <c r="K190" s="550"/>
      <c r="L190" s="267"/>
    </row>
    <row r="191" spans="1:13" x14ac:dyDescent="0.2">
      <c r="A191" s="225"/>
      <c r="B191" s="26"/>
      <c r="C191" s="12" t="s">
        <v>1</v>
      </c>
      <c r="D191" s="12"/>
      <c r="E191" s="62"/>
      <c r="F191" s="63"/>
      <c r="G191" s="548"/>
      <c r="H191" s="549"/>
      <c r="I191" s="549"/>
      <c r="J191" s="549"/>
      <c r="K191" s="550"/>
      <c r="L191" s="267"/>
    </row>
    <row r="192" spans="1:13" x14ac:dyDescent="0.2">
      <c r="A192" s="225">
        <v>134</v>
      </c>
      <c r="B192" s="37"/>
      <c r="C192" s="10"/>
      <c r="D192" s="10" t="s">
        <v>127</v>
      </c>
      <c r="E192" s="19">
        <v>332</v>
      </c>
      <c r="F192" s="20" t="s">
        <v>225</v>
      </c>
      <c r="G192" s="527">
        <f>+'Yr 1 Operating Statement of Act'!G192</f>
        <v>35000</v>
      </c>
      <c r="H192" s="527">
        <f>+'Yr 2 Operating Statement of Act'!G192</f>
        <v>35700</v>
      </c>
      <c r="I192" s="527">
        <f>+'Yr 3 Operating Statement of Act'!G192</f>
        <v>36414</v>
      </c>
      <c r="J192" s="527">
        <f>+'Yr 4 Operating Statement of Act'!G192</f>
        <v>37142.28</v>
      </c>
      <c r="K192" s="530">
        <f>+J192*(1+$M192)</f>
        <v>37885.125599999999</v>
      </c>
      <c r="L192" s="268"/>
      <c r="M192" s="354">
        <f>+$M$82</f>
        <v>0.02</v>
      </c>
    </row>
    <row r="193" spans="1:15" x14ac:dyDescent="0.2">
      <c r="A193" s="225">
        <v>135</v>
      </c>
      <c r="B193" s="37"/>
      <c r="C193" s="10"/>
      <c r="D193" s="10" t="s">
        <v>83</v>
      </c>
      <c r="E193" s="19" t="s">
        <v>84</v>
      </c>
      <c r="F193" s="20" t="s">
        <v>126</v>
      </c>
      <c r="G193" s="527">
        <f>+'Yr 1 Operating Statement of Act'!G193</f>
        <v>0</v>
      </c>
      <c r="H193" s="551">
        <f>+'Yr 2 Operating Statement of Act'!G193</f>
        <v>0</v>
      </c>
      <c r="I193" s="551">
        <f>+'Yr 3 Operating Statement of Act'!G193</f>
        <v>0</v>
      </c>
      <c r="J193" s="551">
        <f>+'Yr 4 Operating Statement of Act'!G193</f>
        <v>0</v>
      </c>
      <c r="K193" s="552"/>
      <c r="L193" s="268"/>
    </row>
    <row r="194" spans="1:15" x14ac:dyDescent="0.2">
      <c r="A194" s="225">
        <v>136</v>
      </c>
      <c r="B194" s="37"/>
      <c r="C194" s="10"/>
      <c r="D194" s="10" t="s">
        <v>128</v>
      </c>
      <c r="E194" s="19" t="s">
        <v>129</v>
      </c>
      <c r="F194" s="20" t="s">
        <v>126</v>
      </c>
      <c r="G194" s="527">
        <f>+'Yr 1 Operating Statement of Act'!G194</f>
        <v>6700</v>
      </c>
      <c r="H194" s="527">
        <f>+'Yr 2 Operating Statement of Act'!G194</f>
        <v>6834</v>
      </c>
      <c r="I194" s="527">
        <f>+'Yr 3 Operating Statement of Act'!G194</f>
        <v>6970.68</v>
      </c>
      <c r="J194" s="527">
        <f>+'Yr 4 Operating Statement of Act'!G194</f>
        <v>7110.0936000000002</v>
      </c>
      <c r="K194" s="530">
        <f>+J194*(1+$M194)</f>
        <v>7252.2954720000007</v>
      </c>
      <c r="L194" s="268"/>
      <c r="M194" s="354">
        <f>+$M$82</f>
        <v>0.02</v>
      </c>
    </row>
    <row r="195" spans="1:15" x14ac:dyDescent="0.2">
      <c r="A195" s="225">
        <v>137</v>
      </c>
      <c r="B195" s="37"/>
      <c r="C195" s="10"/>
      <c r="D195" s="10" t="s">
        <v>130</v>
      </c>
      <c r="E195" s="19" t="s">
        <v>223</v>
      </c>
      <c r="F195" s="20" t="s">
        <v>225</v>
      </c>
      <c r="G195" s="527">
        <f>+'Yr 1 Operating Statement of Act'!G195</f>
        <v>41880</v>
      </c>
      <c r="H195" s="527">
        <f>+'Yr 2 Operating Statement of Act'!G195</f>
        <v>42717.599999999999</v>
      </c>
      <c r="I195" s="527">
        <f>+'Yr 3 Operating Statement of Act'!G195</f>
        <v>43571.951999999997</v>
      </c>
      <c r="J195" s="527">
        <f>+'Yr 4 Operating Statement of Act'!G195</f>
        <v>44443.391039999995</v>
      </c>
      <c r="K195" s="530">
        <f>+J195*(1+$M195)</f>
        <v>45332.258860799993</v>
      </c>
      <c r="L195" s="268"/>
      <c r="M195" s="354">
        <f>+$M$82</f>
        <v>0.02</v>
      </c>
    </row>
    <row r="196" spans="1:15" x14ac:dyDescent="0.2">
      <c r="A196" s="225">
        <v>138</v>
      </c>
      <c r="B196" s="37"/>
      <c r="C196" s="10"/>
      <c r="D196" s="10" t="s">
        <v>131</v>
      </c>
      <c r="E196" s="19" t="s">
        <v>132</v>
      </c>
      <c r="F196" s="20" t="s">
        <v>126</v>
      </c>
      <c r="G196" s="527">
        <f>+'Yr 1 Operating Statement of Act'!G196</f>
        <v>2500</v>
      </c>
      <c r="H196" s="527">
        <f>+'Yr 2 Operating Statement of Act'!G196</f>
        <v>2550</v>
      </c>
      <c r="I196" s="527">
        <f>+'Yr 3 Operating Statement of Act'!G196</f>
        <v>2601</v>
      </c>
      <c r="J196" s="527">
        <f>+'Yr 4 Operating Statement of Act'!G196</f>
        <v>2653.02</v>
      </c>
      <c r="K196" s="530">
        <f>+J196*(1+$M196)</f>
        <v>2706.0803999999998</v>
      </c>
      <c r="L196" s="268"/>
      <c r="M196" s="354">
        <f>+$M$82</f>
        <v>0.02</v>
      </c>
    </row>
    <row r="197" spans="1:15" x14ac:dyDescent="0.2">
      <c r="A197" s="225">
        <v>139</v>
      </c>
      <c r="B197" s="37"/>
      <c r="C197" s="10"/>
      <c r="D197" s="10" t="s">
        <v>5</v>
      </c>
      <c r="E197" s="19">
        <v>730</v>
      </c>
      <c r="F197" s="20" t="s">
        <v>225</v>
      </c>
      <c r="G197" s="527">
        <f>+'Yr 1 Operating Statement of Act'!G197</f>
        <v>0</v>
      </c>
      <c r="H197" s="551">
        <f>+'Yr 2 Operating Statement of Act'!G197</f>
        <v>0</v>
      </c>
      <c r="I197" s="551">
        <f>+'Yr 3 Operating Statement of Act'!G197</f>
        <v>0</v>
      </c>
      <c r="J197" s="551">
        <f>+'Yr 4 Operating Statement of Act'!G197</f>
        <v>0</v>
      </c>
      <c r="K197" s="552"/>
      <c r="L197" s="268"/>
    </row>
    <row r="198" spans="1:15" x14ac:dyDescent="0.2">
      <c r="A198" s="225">
        <v>140</v>
      </c>
      <c r="B198" s="37"/>
      <c r="C198" s="10"/>
      <c r="D198" s="10" t="s">
        <v>133</v>
      </c>
      <c r="E198" s="19" t="s">
        <v>116</v>
      </c>
      <c r="F198" s="20" t="s">
        <v>126</v>
      </c>
      <c r="G198" s="527">
        <f>+'Yr 1 Operating Statement of Act'!G198</f>
        <v>66483.929999999993</v>
      </c>
      <c r="H198" s="527">
        <f>+'Yr 2 Operating Statement of Act'!G198</f>
        <v>102328.40660000002</v>
      </c>
      <c r="I198" s="527">
        <f>+'Yr 3 Operating Statement of Act'!G198</f>
        <v>139178.99180625004</v>
      </c>
      <c r="J198" s="527">
        <f>+'Yr 4 Operating Statement of Act'!G198</f>
        <v>175561.31120923063</v>
      </c>
      <c r="K198" s="530">
        <f>+'KIPP Assumptions'!$B$51*SUM(K11,K25)+'KIPP Assumptions'!$B$52</f>
        <v>178588.1256264383</v>
      </c>
      <c r="L198" s="268" t="str">
        <f>"LDE/OPSB fees ("&amp;TEXT('KIPP Assumptions'!$B$51,"#.0%")&amp;" of MFP) and KIPP Foundation Fee ("&amp;TEXT('KIPP Assumptions'!$B$52,"$#,##0")&amp;")"</f>
        <v>LDE/OPSB fees (2.0% of MFP) and KIPP Foundation Fee ($30,000)</v>
      </c>
      <c r="M198" s="354"/>
      <c r="O198" s="354"/>
    </row>
    <row r="199" spans="1:15" x14ac:dyDescent="0.2">
      <c r="A199" s="225">
        <v>141</v>
      </c>
      <c r="B199" s="37"/>
      <c r="C199" s="10"/>
      <c r="D199" s="10" t="s">
        <v>134</v>
      </c>
      <c r="E199" s="19" t="s">
        <v>135</v>
      </c>
      <c r="F199" s="20" t="s">
        <v>126</v>
      </c>
      <c r="G199" s="527">
        <f>+'Yr 1 Operating Statement of Act'!G199</f>
        <v>0</v>
      </c>
      <c r="H199" s="551">
        <f>+'Yr 2 Operating Statement of Act'!G199</f>
        <v>0</v>
      </c>
      <c r="I199" s="551">
        <f>+'Yr 3 Operating Statement of Act'!G199</f>
        <v>0</v>
      </c>
      <c r="J199" s="551">
        <f>+'Yr 4 Operating Statement of Act'!G199</f>
        <v>0</v>
      </c>
      <c r="K199" s="552"/>
      <c r="L199" s="268"/>
    </row>
    <row r="200" spans="1:15" x14ac:dyDescent="0.2">
      <c r="A200" s="225">
        <v>142</v>
      </c>
      <c r="B200" s="37"/>
      <c r="C200" s="86" t="s">
        <v>283</v>
      </c>
      <c r="D200" s="10"/>
      <c r="E200" s="19"/>
      <c r="F200" s="20"/>
      <c r="G200" s="553"/>
      <c r="H200" s="551"/>
      <c r="I200" s="551"/>
      <c r="J200" s="551"/>
      <c r="K200" s="552"/>
      <c r="L200" s="268"/>
    </row>
    <row r="201" spans="1:15" x14ac:dyDescent="0.2">
      <c r="A201" s="225">
        <v>143</v>
      </c>
      <c r="B201" s="108"/>
      <c r="C201" s="109"/>
      <c r="D201" s="110" t="s">
        <v>448</v>
      </c>
      <c r="E201" s="19">
        <v>310</v>
      </c>
      <c r="F201" s="20" t="s">
        <v>447</v>
      </c>
      <c r="G201" s="527">
        <f>+'Yr 1 Operating Statement of Act'!G201</f>
        <v>343415.58</v>
      </c>
      <c r="H201" s="527">
        <f>+'Yr 2 Operating Statement of Act'!G201</f>
        <v>574563.63959999999</v>
      </c>
      <c r="I201" s="527">
        <f>+'Yr 3 Operating Statement of Act'!G201</f>
        <v>811102.41483750008</v>
      </c>
      <c r="J201" s="527">
        <f>+'Yr 4 Operating Statement of Act'!G201</f>
        <v>1044586.9265353837</v>
      </c>
      <c r="K201" s="530">
        <f>K70*'KIPP Assumptions'!$B$49</f>
        <v>1067886.1335242298</v>
      </c>
      <c r="L201" s="268" t="str">
        <f>"KNOS regional management fee ("&amp;TEXT('KIPP Assumptions'!$B$49,"#.0%")&amp;" of revenue)"</f>
        <v>KNOS regional management fee (12.0% of revenue)</v>
      </c>
    </row>
    <row r="202" spans="1:15" x14ac:dyDescent="0.2">
      <c r="A202" s="225">
        <v>144</v>
      </c>
      <c r="B202" s="37"/>
      <c r="C202" s="10"/>
      <c r="D202" s="10"/>
      <c r="E202" s="19"/>
      <c r="F202" s="20"/>
      <c r="G202" s="553"/>
      <c r="H202" s="551"/>
      <c r="I202" s="551"/>
      <c r="J202" s="551"/>
      <c r="K202" s="552"/>
      <c r="L202" s="268"/>
    </row>
    <row r="203" spans="1:15" ht="15" x14ac:dyDescent="0.25">
      <c r="A203" s="226">
        <v>145</v>
      </c>
      <c r="B203" s="88" t="s">
        <v>136</v>
      </c>
      <c r="C203" s="52"/>
      <c r="D203" s="52"/>
      <c r="E203" s="50"/>
      <c r="F203" s="51"/>
      <c r="G203" s="554">
        <f>SUM(G192:G202)</f>
        <v>495979.51</v>
      </c>
      <c r="H203" s="555">
        <f>SUM(H192:H202)</f>
        <v>764693.64620000008</v>
      </c>
      <c r="I203" s="555">
        <f>SUM(I192:I202)</f>
        <v>1039839.0386437501</v>
      </c>
      <c r="J203" s="555">
        <f>SUM(J192:J202)</f>
        <v>1311497.0223846142</v>
      </c>
      <c r="K203" s="556">
        <f>SUM(K192:K202)</f>
        <v>1339650.019483468</v>
      </c>
      <c r="L203" s="271"/>
    </row>
    <row r="204" spans="1:15" x14ac:dyDescent="0.2">
      <c r="A204" s="225"/>
      <c r="B204" s="37"/>
      <c r="C204" s="10"/>
      <c r="D204" s="10"/>
      <c r="E204" s="19"/>
      <c r="F204" s="20"/>
      <c r="G204" s="553"/>
      <c r="H204" s="551"/>
      <c r="I204" s="551"/>
      <c r="J204" s="551"/>
      <c r="K204" s="552"/>
      <c r="L204" s="268"/>
    </row>
    <row r="205" spans="1:15" s="5" customFormat="1" ht="15" x14ac:dyDescent="0.25">
      <c r="A205" s="225"/>
      <c r="B205" s="89" t="s">
        <v>26</v>
      </c>
      <c r="C205" s="54"/>
      <c r="D205" s="54"/>
      <c r="E205" s="62"/>
      <c r="F205" s="63"/>
      <c r="G205" s="548"/>
      <c r="H205" s="549"/>
      <c r="I205" s="549"/>
      <c r="J205" s="549"/>
      <c r="K205" s="550"/>
      <c r="L205" s="267"/>
    </row>
    <row r="206" spans="1:15" x14ac:dyDescent="0.2">
      <c r="A206" s="225"/>
      <c r="B206" s="37"/>
      <c r="C206" s="10" t="s">
        <v>76</v>
      </c>
      <c r="D206" s="10"/>
      <c r="E206" s="62"/>
      <c r="F206" s="63"/>
      <c r="G206" s="548"/>
      <c r="H206" s="549"/>
      <c r="I206" s="549"/>
      <c r="J206" s="549"/>
      <c r="K206" s="550"/>
      <c r="L206" s="267"/>
    </row>
    <row r="207" spans="1:15" x14ac:dyDescent="0.2">
      <c r="A207" s="225">
        <v>146</v>
      </c>
      <c r="B207" s="37"/>
      <c r="C207" s="10"/>
      <c r="D207" s="10" t="s">
        <v>137</v>
      </c>
      <c r="E207" s="19" t="s">
        <v>118</v>
      </c>
      <c r="F207" s="20" t="s">
        <v>138</v>
      </c>
      <c r="G207" s="527">
        <f>+'Yr 1 Operating Statement of Act'!G207</f>
        <v>180000</v>
      </c>
      <c r="H207" s="551">
        <f>+'Yr 2 Operating Statement of Act'!G207</f>
        <v>183150</v>
      </c>
      <c r="I207" s="551">
        <f>+'Yr 3 Operating Statement of Act'!G207</f>
        <v>186355.125</v>
      </c>
      <c r="J207" s="551">
        <f>+'Yr 4 Operating Statement of Act'!G207</f>
        <v>189616.3396875</v>
      </c>
      <c r="K207" s="552">
        <f>+J207*(1+$M207)</f>
        <v>192934.62563203127</v>
      </c>
      <c r="L207" s="268"/>
      <c r="M207" s="354">
        <f>+$M$79</f>
        <v>1.7500000000000002E-2</v>
      </c>
    </row>
    <row r="208" spans="1:15" x14ac:dyDescent="0.2">
      <c r="A208" s="225">
        <v>147</v>
      </c>
      <c r="B208" s="37"/>
      <c r="C208" s="10"/>
      <c r="D208" s="10" t="s">
        <v>139</v>
      </c>
      <c r="E208" s="19" t="s">
        <v>118</v>
      </c>
      <c r="F208" s="20" t="s">
        <v>140</v>
      </c>
      <c r="G208" s="527">
        <f>+'Yr 1 Operating Statement of Act'!G208</f>
        <v>177000</v>
      </c>
      <c r="H208" s="551">
        <f>+'Yr 2 Operating Statement of Act'!G208</f>
        <v>300162.50000000006</v>
      </c>
      <c r="I208" s="551">
        <f>+'Yr 3 Operating Statement of Act'!G208</f>
        <v>488664.5500000001</v>
      </c>
      <c r="J208" s="551">
        <f>+'Yr 4 Operating Statement of Act'!G208</f>
        <v>497216.17962500016</v>
      </c>
      <c r="K208" s="552">
        <f>+J208*(1+$M208)</f>
        <v>505917.46276843769</v>
      </c>
      <c r="L208" s="268"/>
      <c r="M208" s="354">
        <f>+$M$79</f>
        <v>1.7500000000000002E-2</v>
      </c>
    </row>
    <row r="209" spans="1:14" x14ac:dyDescent="0.2">
      <c r="A209" s="225">
        <v>148</v>
      </c>
      <c r="B209" s="37"/>
      <c r="C209" s="10"/>
      <c r="D209" s="10" t="s">
        <v>141</v>
      </c>
      <c r="E209" s="19" t="s">
        <v>119</v>
      </c>
      <c r="F209" s="20" t="s">
        <v>142</v>
      </c>
      <c r="G209" s="527">
        <f>+'Yr 1 Operating Statement of Act'!G209</f>
        <v>49000</v>
      </c>
      <c r="H209" s="551">
        <f>+'Yr 2 Operating Statement of Act'!G209</f>
        <v>99715</v>
      </c>
      <c r="I209" s="551">
        <f>+'Yr 3 Operating Statement of Act'!G209</f>
        <v>152190.01875000002</v>
      </c>
      <c r="J209" s="551">
        <f>+'Yr 4 Operating Statement of Act'!G209</f>
        <v>154853.34407812502</v>
      </c>
      <c r="K209" s="552">
        <f>+J209*(1+$M209)</f>
        <v>157563.27759949223</v>
      </c>
      <c r="L209" s="268"/>
      <c r="M209" s="354">
        <f>+$M$79</f>
        <v>1.7500000000000002E-2</v>
      </c>
    </row>
    <row r="210" spans="1:14" x14ac:dyDescent="0.2">
      <c r="A210" s="225">
        <v>149</v>
      </c>
      <c r="B210" s="37"/>
      <c r="C210" s="10" t="s">
        <v>83</v>
      </c>
      <c r="D210" s="10"/>
      <c r="E210" s="19" t="s">
        <v>84</v>
      </c>
      <c r="F210" s="20" t="s">
        <v>142</v>
      </c>
      <c r="G210" s="527">
        <f>+'Yr 1 Operating Statement of Act'!G210</f>
        <v>3400</v>
      </c>
      <c r="H210" s="527">
        <f>+'Yr 2 Operating Statement of Act'!G210</f>
        <v>3468</v>
      </c>
      <c r="I210" s="527">
        <f>+'Yr 3 Operating Statement of Act'!G210</f>
        <v>3537.36</v>
      </c>
      <c r="J210" s="527">
        <f>+'Yr 4 Operating Statement of Act'!G210</f>
        <v>3608.1072000000004</v>
      </c>
      <c r="K210" s="530">
        <f>+J210*(1+$M210)</f>
        <v>3680.2693440000003</v>
      </c>
      <c r="L210" s="268"/>
      <c r="M210" s="354">
        <f>+$M$82</f>
        <v>0.02</v>
      </c>
    </row>
    <row r="211" spans="1:14" x14ac:dyDescent="0.2">
      <c r="A211" s="225">
        <v>150</v>
      </c>
      <c r="B211" s="37"/>
      <c r="C211" s="10" t="s">
        <v>85</v>
      </c>
      <c r="D211" s="10"/>
      <c r="E211" s="19" t="s">
        <v>86</v>
      </c>
      <c r="F211" s="20" t="s">
        <v>142</v>
      </c>
      <c r="G211" s="527">
        <f>+'Yr 1 Operating Statement of Act'!G211</f>
        <v>0</v>
      </c>
      <c r="H211" s="551">
        <f>+'Yr 2 Operating Statement of Act'!G211</f>
        <v>0</v>
      </c>
      <c r="I211" s="551">
        <f>+'Yr 3 Operating Statement of Act'!G211</f>
        <v>0</v>
      </c>
      <c r="J211" s="551">
        <f>+'Yr 4 Operating Statement of Act'!G211</f>
        <v>0</v>
      </c>
      <c r="K211" s="552"/>
      <c r="L211" s="268"/>
    </row>
    <row r="212" spans="1:14" x14ac:dyDescent="0.2">
      <c r="A212" s="225">
        <v>151</v>
      </c>
      <c r="B212" s="37"/>
      <c r="C212" s="10" t="s">
        <v>111</v>
      </c>
      <c r="D212" s="10"/>
      <c r="E212" s="19" t="s">
        <v>112</v>
      </c>
      <c r="F212" s="20" t="s">
        <v>142</v>
      </c>
      <c r="G212" s="527">
        <f>+'Yr 1 Operating Statement of Act'!G212</f>
        <v>0</v>
      </c>
      <c r="H212" s="551">
        <f>+'Yr 2 Operating Statement of Act'!G212</f>
        <v>0</v>
      </c>
      <c r="I212" s="551">
        <f>+'Yr 3 Operating Statement of Act'!G212</f>
        <v>0</v>
      </c>
      <c r="J212" s="551">
        <f>+'Yr 4 Operating Statement of Act'!G212</f>
        <v>0</v>
      </c>
      <c r="K212" s="552"/>
      <c r="L212" s="268"/>
    </row>
    <row r="213" spans="1:14" x14ac:dyDescent="0.2">
      <c r="A213" s="225">
        <v>152</v>
      </c>
      <c r="B213" s="37"/>
      <c r="C213" s="10" t="s">
        <v>143</v>
      </c>
      <c r="D213" s="10"/>
      <c r="E213" s="19" t="s">
        <v>144</v>
      </c>
      <c r="F213" s="20" t="s">
        <v>142</v>
      </c>
      <c r="G213" s="527">
        <f>+'Yr 1 Operating Statement of Act'!G213</f>
        <v>0</v>
      </c>
      <c r="H213" s="551">
        <f>+'Yr 2 Operating Statement of Act'!G213</f>
        <v>0</v>
      </c>
      <c r="I213" s="551">
        <f>+'Yr 3 Operating Statement of Act'!G213</f>
        <v>0</v>
      </c>
      <c r="J213" s="551">
        <f>+'Yr 4 Operating Statement of Act'!G213</f>
        <v>0</v>
      </c>
      <c r="K213" s="552"/>
      <c r="L213" s="268"/>
    </row>
    <row r="214" spans="1:14" x14ac:dyDescent="0.2">
      <c r="A214" s="225">
        <v>153</v>
      </c>
      <c r="B214" s="37"/>
      <c r="C214" s="10" t="s">
        <v>87</v>
      </c>
      <c r="D214" s="10"/>
      <c r="E214" s="19" t="s">
        <v>88</v>
      </c>
      <c r="F214" s="20" t="s">
        <v>142</v>
      </c>
      <c r="G214" s="527">
        <f>+'Yr 1 Operating Statement of Act'!G214</f>
        <v>5000</v>
      </c>
      <c r="H214" s="527">
        <f>+'Yr 2 Operating Statement of Act'!G214</f>
        <v>5100</v>
      </c>
      <c r="I214" s="527">
        <f>+'Yr 3 Operating Statement of Act'!G214</f>
        <v>5202</v>
      </c>
      <c r="J214" s="527">
        <f>+'Yr 4 Operating Statement of Act'!G214</f>
        <v>5306.04</v>
      </c>
      <c r="K214" s="530">
        <f>+J214*(1+$M214)</f>
        <v>5412.1607999999997</v>
      </c>
      <c r="L214" s="268"/>
      <c r="M214" s="354">
        <f>+$M$82</f>
        <v>0.02</v>
      </c>
    </row>
    <row r="215" spans="1:14" x14ac:dyDescent="0.2">
      <c r="A215" s="225">
        <v>154</v>
      </c>
      <c r="B215" s="37"/>
      <c r="C215" s="10" t="s">
        <v>110</v>
      </c>
      <c r="D215" s="10"/>
      <c r="E215" s="19" t="s">
        <v>90</v>
      </c>
      <c r="F215" s="20" t="s">
        <v>142</v>
      </c>
      <c r="G215" s="527">
        <f>+'Yr 1 Operating Statement of Act'!G215</f>
        <v>21850</v>
      </c>
      <c r="H215" s="527">
        <f>+'Yr 2 Operating Statement of Act'!G215</f>
        <v>44574</v>
      </c>
      <c r="I215" s="527">
        <f>+'Yr 3 Operating Statement of Act'!G215</f>
        <v>68198.22</v>
      </c>
      <c r="J215" s="527">
        <f>+'Yr 4 Operating Statement of Act'!G215</f>
        <v>92749.579200000007</v>
      </c>
      <c r="K215" s="530">
        <f>+J215*(1+$M215)</f>
        <v>94604.57078400001</v>
      </c>
      <c r="L215" s="268"/>
      <c r="M215" s="354">
        <f>+$M$82</f>
        <v>0.02</v>
      </c>
    </row>
    <row r="216" spans="1:14" x14ac:dyDescent="0.2">
      <c r="A216" s="225">
        <v>155</v>
      </c>
      <c r="B216" s="37"/>
      <c r="C216" s="10" t="s">
        <v>242</v>
      </c>
      <c r="D216" s="10"/>
      <c r="E216" s="19" t="s">
        <v>243</v>
      </c>
      <c r="F216" s="20" t="s">
        <v>142</v>
      </c>
      <c r="G216" s="527">
        <f>+'Yr 1 Operating Statement of Act'!G216</f>
        <v>0</v>
      </c>
      <c r="H216" s="551">
        <f>+'Yr 2 Operating Statement of Act'!G216</f>
        <v>0</v>
      </c>
      <c r="I216" s="551">
        <f>+'Yr 3 Operating Statement of Act'!G216</f>
        <v>0</v>
      </c>
      <c r="J216" s="551">
        <f>+'Yr 4 Operating Statement of Act'!G216</f>
        <v>0</v>
      </c>
      <c r="K216" s="552"/>
      <c r="L216" s="268"/>
    </row>
    <row r="217" spans="1:14" x14ac:dyDescent="0.2">
      <c r="A217" s="225">
        <v>156</v>
      </c>
      <c r="B217" s="37"/>
      <c r="C217" s="10" t="s">
        <v>296</v>
      </c>
      <c r="D217" s="10"/>
      <c r="E217" s="19" t="s">
        <v>116</v>
      </c>
      <c r="F217" s="20" t="s">
        <v>142</v>
      </c>
      <c r="G217" s="527">
        <f>+'Yr 1 Operating Statement of Act'!G217</f>
        <v>2100</v>
      </c>
      <c r="H217" s="527">
        <f>+'Yr 2 Operating Statement of Act'!G217</f>
        <v>2142</v>
      </c>
      <c r="I217" s="527">
        <f>+'Yr 3 Operating Statement of Act'!G217</f>
        <v>2184.84</v>
      </c>
      <c r="J217" s="527">
        <f>+'Yr 4 Operating Statement of Act'!G217</f>
        <v>2228.5368000000003</v>
      </c>
      <c r="K217" s="530">
        <f>+J217*(1+$M217)</f>
        <v>2273.1075360000004</v>
      </c>
      <c r="L217" s="268"/>
      <c r="M217" s="354">
        <f>+$M$82</f>
        <v>0.02</v>
      </c>
    </row>
    <row r="218" spans="1:14" x14ac:dyDescent="0.2">
      <c r="A218" s="225">
        <v>157</v>
      </c>
      <c r="B218" s="37"/>
      <c r="C218" s="10" t="s">
        <v>95</v>
      </c>
      <c r="D218" s="10"/>
      <c r="E218" s="19" t="s">
        <v>96</v>
      </c>
      <c r="F218" s="20" t="s">
        <v>142</v>
      </c>
      <c r="G218" s="527">
        <f>+'Yr 1 Operating Statement of Act'!G218</f>
        <v>28617.965</v>
      </c>
      <c r="H218" s="527">
        <f>+'Yr 2 Operating Statement of Act'!G218</f>
        <v>47880.3033</v>
      </c>
      <c r="I218" s="527">
        <f>+'Yr 3 Operating Statement of Act'!G218</f>
        <v>67591.867903125007</v>
      </c>
      <c r="J218" s="527">
        <f>+'Yr 4 Operating Statement of Act'!G218</f>
        <v>87048.910544615312</v>
      </c>
      <c r="K218" s="530">
        <f>+J218*(1+$M218)</f>
        <v>88789.888755507622</v>
      </c>
      <c r="L218" s="268"/>
      <c r="M218" s="354">
        <f>+$M$82</f>
        <v>0.02</v>
      </c>
    </row>
    <row r="219" spans="1:14" x14ac:dyDescent="0.2">
      <c r="A219" s="225">
        <v>158</v>
      </c>
      <c r="B219" s="37"/>
      <c r="C219" s="10" t="s">
        <v>295</v>
      </c>
      <c r="D219" s="10"/>
      <c r="E219" s="19" t="s">
        <v>97</v>
      </c>
      <c r="F219" s="20" t="s">
        <v>11</v>
      </c>
      <c r="G219" s="527">
        <f>+'Yr 1 Operating Statement of Act'!G219</f>
        <v>28733.973639337735</v>
      </c>
      <c r="H219" s="551">
        <f>+'Yr 2 Operating Statement of Act'!G219</f>
        <v>41262.800039430993</v>
      </c>
      <c r="I219" s="551">
        <f>+'Yr 3 Operating Statement of Act'!G219</f>
        <v>58544.388015805773</v>
      </c>
      <c r="J219" s="551">
        <f>+'Yr 4 Operating Statement of Act'!G219</f>
        <v>59568.914806082386</v>
      </c>
      <c r="K219" s="551">
        <f>SUM(K$207:K$209)*$N219</f>
        <v>60611.370815188828</v>
      </c>
      <c r="L219" s="268"/>
      <c r="N219" s="355">
        <f>'KIPP Assumptions'!$B$105+'KIPP Assumptions'!$B$106+'KIPP Assumptions'!$B$107+'KIPP Assumptions'!$B$108+'KIPP Assumptions'!$B$109</f>
        <v>7.0773334087038758E-2</v>
      </c>
    </row>
    <row r="220" spans="1:14" x14ac:dyDescent="0.2">
      <c r="A220" s="225">
        <v>159</v>
      </c>
      <c r="B220" s="37"/>
      <c r="C220" s="10" t="s">
        <v>98</v>
      </c>
      <c r="D220" s="10"/>
      <c r="E220" s="19" t="s">
        <v>99</v>
      </c>
      <c r="F220" s="20" t="s">
        <v>11</v>
      </c>
      <c r="G220" s="527">
        <f>+'Yr 1 Operating Statement of Act'!G220</f>
        <v>25172</v>
      </c>
      <c r="H220" s="551">
        <f>+'Yr 2 Operating Statement of Act'!G220</f>
        <v>36147.705000000002</v>
      </c>
      <c r="I220" s="551">
        <f>+'Yr 3 Operating Statement of Act'!G220</f>
        <v>51287.001012500004</v>
      </c>
      <c r="J220" s="551">
        <f>+'Yr 4 Operating Statement of Act'!G220</f>
        <v>52184.523530218765</v>
      </c>
      <c r="K220" s="551">
        <f>SUM(K$207:K$209)*$N220</f>
        <v>53097.752691997594</v>
      </c>
      <c r="L220" s="268"/>
      <c r="N220" s="355">
        <f>'KIPP Assumptions'!$B$111</f>
        <v>6.2E-2</v>
      </c>
    </row>
    <row r="221" spans="1:14" x14ac:dyDescent="0.2">
      <c r="A221" s="225">
        <v>160</v>
      </c>
      <c r="B221" s="37"/>
      <c r="C221" s="10" t="s">
        <v>100</v>
      </c>
      <c r="D221" s="10"/>
      <c r="E221" s="19" t="s">
        <v>101</v>
      </c>
      <c r="F221" s="20" t="s">
        <v>11</v>
      </c>
      <c r="G221" s="527">
        <f>+'Yr 1 Operating Statement of Act'!G221</f>
        <v>5887</v>
      </c>
      <c r="H221" s="551">
        <f>+'Yr 2 Operating Statement of Act'!G221</f>
        <v>8453.8987500000003</v>
      </c>
      <c r="I221" s="551">
        <f>+'Yr 3 Operating Statement of Act'!G221</f>
        <v>11994.540559375002</v>
      </c>
      <c r="J221" s="551">
        <f>+'Yr 4 Operating Statement of Act'!G221</f>
        <v>12204.445019164066</v>
      </c>
      <c r="K221" s="551">
        <f>SUM(K$207:K$209)*$N221</f>
        <v>12418.022806999437</v>
      </c>
      <c r="L221" s="268"/>
      <c r="N221" s="355">
        <f>'KIPP Assumptions'!$B$110</f>
        <v>1.4500000000000001E-2</v>
      </c>
    </row>
    <row r="222" spans="1:14" x14ac:dyDescent="0.2">
      <c r="A222" s="225">
        <v>161</v>
      </c>
      <c r="B222" s="37"/>
      <c r="C222" s="10" t="s">
        <v>219</v>
      </c>
      <c r="D222" s="10"/>
      <c r="E222" s="19" t="s">
        <v>220</v>
      </c>
      <c r="F222" s="20" t="s">
        <v>11</v>
      </c>
      <c r="G222" s="527">
        <f>+'Yr 1 Operating Statement of Act'!G222</f>
        <v>13044.409249413493</v>
      </c>
      <c r="H222" s="551">
        <f>+'Yr 2 Operating Statement of Act'!G222</f>
        <v>18732.14116665622</v>
      </c>
      <c r="I222" s="551">
        <f>+'Yr 3 Operating Statement of Act'!G222</f>
        <v>26577.492069844837</v>
      </c>
      <c r="J222" s="551">
        <f>+'Yr 4 Operating Statement of Act'!G222</f>
        <v>27042.598181067126</v>
      </c>
      <c r="K222" s="551">
        <f>SUM(K$207:K$209)*$N222</f>
        <v>27515.843649235801</v>
      </c>
      <c r="L222" s="268"/>
      <c r="N222" s="355">
        <f>+'KIPP Assumptions'!$B$113</f>
        <v>3.21290868212155E-2</v>
      </c>
    </row>
    <row r="223" spans="1:14" x14ac:dyDescent="0.2">
      <c r="A223" s="225">
        <v>162</v>
      </c>
      <c r="B223" s="37"/>
      <c r="C223" s="10" t="s">
        <v>102</v>
      </c>
      <c r="D223" s="10"/>
      <c r="E223" s="19" t="s">
        <v>103</v>
      </c>
      <c r="F223" s="20" t="s">
        <v>11</v>
      </c>
      <c r="G223" s="527">
        <f>+'Yr 1 Operating Statement of Act'!G223</f>
        <v>406</v>
      </c>
      <c r="H223" s="551">
        <f>+'Yr 2 Operating Statement of Act'!G223</f>
        <v>583.02750000000003</v>
      </c>
      <c r="I223" s="551">
        <f>+'Yr 3 Operating Statement of Act'!G223</f>
        <v>827.20969375000016</v>
      </c>
      <c r="J223" s="551">
        <f>+'Yr 4 Operating Statement of Act'!G223</f>
        <v>841.68586339062529</v>
      </c>
      <c r="K223" s="551">
        <f>SUM(K$207:K$209)*$N223</f>
        <v>856.41536599996118</v>
      </c>
      <c r="L223" s="268"/>
      <c r="N223" s="355">
        <f>+'KIPP Assumptions'!$B$112</f>
        <v>1E-3</v>
      </c>
    </row>
    <row r="224" spans="1:14" x14ac:dyDescent="0.2">
      <c r="A224" s="225">
        <v>163</v>
      </c>
      <c r="B224" s="37"/>
      <c r="C224" s="10" t="s">
        <v>104</v>
      </c>
      <c r="D224" s="10"/>
      <c r="E224" s="19" t="s">
        <v>105</v>
      </c>
      <c r="F224" s="20" t="s">
        <v>11</v>
      </c>
      <c r="G224" s="527">
        <f>+'Yr 1 Operating Statement of Act'!G224</f>
        <v>0</v>
      </c>
      <c r="H224" s="551">
        <f>+'Yr 2 Operating Statement of Act'!G224</f>
        <v>0</v>
      </c>
      <c r="I224" s="551">
        <f>+'Yr 3 Operating Statement of Act'!G224</f>
        <v>0</v>
      </c>
      <c r="J224" s="551">
        <f>+'Yr 4 Operating Statement of Act'!G224</f>
        <v>0</v>
      </c>
      <c r="K224" s="552"/>
      <c r="L224" s="268"/>
    </row>
    <row r="225" spans="1:13" x14ac:dyDescent="0.2">
      <c r="A225" s="225">
        <v>164</v>
      </c>
      <c r="B225" s="37"/>
      <c r="C225" s="86" t="s">
        <v>283</v>
      </c>
      <c r="D225" s="10"/>
      <c r="E225" s="19"/>
      <c r="F225" s="20"/>
      <c r="G225" s="553"/>
      <c r="H225" s="551"/>
      <c r="I225" s="551"/>
      <c r="J225" s="551"/>
      <c r="K225" s="552"/>
      <c r="L225" s="268"/>
    </row>
    <row r="226" spans="1:13" x14ac:dyDescent="0.2">
      <c r="A226" s="225">
        <v>165</v>
      </c>
      <c r="B226" s="37"/>
      <c r="C226" s="86"/>
      <c r="D226" s="10"/>
      <c r="E226" s="19"/>
      <c r="F226" s="20"/>
      <c r="G226" s="553"/>
      <c r="H226" s="551"/>
      <c r="I226" s="551"/>
      <c r="J226" s="551"/>
      <c r="K226" s="552"/>
      <c r="L226" s="268"/>
    </row>
    <row r="227" spans="1:13" x14ac:dyDescent="0.2">
      <c r="A227" s="225">
        <v>166</v>
      </c>
      <c r="B227" s="84"/>
      <c r="D227" s="14"/>
      <c r="E227" s="15"/>
      <c r="F227" s="16"/>
      <c r="G227" s="545"/>
      <c r="H227" s="546"/>
      <c r="I227" s="546"/>
      <c r="J227" s="546"/>
      <c r="K227" s="547"/>
      <c r="L227" s="283"/>
    </row>
    <row r="228" spans="1:13" ht="15" x14ac:dyDescent="0.25">
      <c r="A228" s="226">
        <v>167</v>
      </c>
      <c r="B228" s="88" t="s">
        <v>145</v>
      </c>
      <c r="C228" s="52"/>
      <c r="D228" s="52"/>
      <c r="E228" s="50"/>
      <c r="F228" s="51"/>
      <c r="G228" s="554">
        <f>SUM(G207:G227)</f>
        <v>540211.3478887513</v>
      </c>
      <c r="H228" s="555">
        <f>SUM(H207:H227)</f>
        <v>791371.37575608713</v>
      </c>
      <c r="I228" s="555">
        <f>SUM(I207:I227)</f>
        <v>1123154.6130044004</v>
      </c>
      <c r="J228" s="555">
        <f>SUM(J207:J227)</f>
        <v>1184469.2045351635</v>
      </c>
      <c r="K228" s="556">
        <f>SUM(K207:K227)</f>
        <v>1205674.7685488905</v>
      </c>
      <c r="L228" s="271"/>
    </row>
    <row r="229" spans="1:13" ht="6.75" customHeight="1" x14ac:dyDescent="0.2">
      <c r="A229" s="230"/>
      <c r="B229" s="36"/>
      <c r="C229" s="13"/>
      <c r="D229" s="13"/>
      <c r="E229" s="17"/>
      <c r="F229" s="18"/>
      <c r="G229" s="562"/>
      <c r="H229" s="563"/>
      <c r="I229" s="563"/>
      <c r="J229" s="563"/>
      <c r="K229" s="564"/>
      <c r="L229" s="288"/>
    </row>
    <row r="230" spans="1:13" s="5" customFormat="1" ht="15" x14ac:dyDescent="0.25">
      <c r="A230" s="225"/>
      <c r="B230" s="89" t="s">
        <v>27</v>
      </c>
      <c r="C230" s="54"/>
      <c r="D230" s="54"/>
      <c r="E230" s="64"/>
      <c r="F230" s="65"/>
      <c r="G230" s="383"/>
      <c r="H230" s="384"/>
      <c r="I230" s="384"/>
      <c r="J230" s="384"/>
      <c r="K230" s="385"/>
      <c r="L230" s="284"/>
    </row>
    <row r="231" spans="1:13" x14ac:dyDescent="0.2">
      <c r="A231" s="225"/>
      <c r="B231" s="37">
        <v>90</v>
      </c>
      <c r="C231" s="10" t="s">
        <v>146</v>
      </c>
      <c r="D231" s="10"/>
      <c r="E231" s="68"/>
      <c r="F231" s="69"/>
      <c r="G231" s="565"/>
      <c r="H231" s="566"/>
      <c r="I231" s="566"/>
      <c r="J231" s="566"/>
      <c r="K231" s="567"/>
      <c r="L231" s="289"/>
    </row>
    <row r="232" spans="1:13" x14ac:dyDescent="0.2">
      <c r="A232" s="225"/>
      <c r="B232" s="37"/>
      <c r="C232" s="10" t="s">
        <v>147</v>
      </c>
      <c r="D232" s="10"/>
      <c r="E232" s="72"/>
      <c r="F232" s="73"/>
      <c r="G232" s="568"/>
      <c r="H232" s="569"/>
      <c r="I232" s="569"/>
      <c r="J232" s="569"/>
      <c r="K232" s="570"/>
      <c r="L232" s="266"/>
    </row>
    <row r="233" spans="1:13" x14ac:dyDescent="0.2">
      <c r="A233" s="225">
        <v>168</v>
      </c>
      <c r="B233" s="37"/>
      <c r="C233" s="10" t="s">
        <v>182</v>
      </c>
      <c r="D233" s="10" t="s">
        <v>76</v>
      </c>
      <c r="E233" s="19" t="s">
        <v>222</v>
      </c>
      <c r="F233" s="20" t="s">
        <v>244</v>
      </c>
      <c r="G233" s="527">
        <f>+'Yr 1 Operating Statement of Act'!G233</f>
        <v>0</v>
      </c>
      <c r="H233" s="551">
        <f>+'Yr 2 Operating Statement of Act'!G233</f>
        <v>0</v>
      </c>
      <c r="I233" s="551">
        <f>+'Yr 3 Operating Statement of Act'!G233</f>
        <v>0</v>
      </c>
      <c r="J233" s="551">
        <f>+'Yr 4 Operating Statement of Act'!G233</f>
        <v>0</v>
      </c>
      <c r="K233" s="552"/>
      <c r="L233" s="268"/>
    </row>
    <row r="234" spans="1:13" x14ac:dyDescent="0.2">
      <c r="A234" s="225">
        <v>169</v>
      </c>
      <c r="B234" s="37"/>
      <c r="C234" s="10"/>
      <c r="D234" s="10" t="s">
        <v>83</v>
      </c>
      <c r="E234" s="19" t="s">
        <v>84</v>
      </c>
      <c r="F234" s="20" t="s">
        <v>148</v>
      </c>
      <c r="G234" s="527">
        <f>+'Yr 1 Operating Statement of Act'!G234</f>
        <v>26649.193548387098</v>
      </c>
      <c r="H234" s="527">
        <f>+'Yr 2 Operating Statement of Act'!G234</f>
        <v>44275.576036866361</v>
      </c>
      <c r="I234" s="527">
        <f>+'Yr 3 Operating Statement of Act'!G234</f>
        <v>62771.124423963134</v>
      </c>
      <c r="J234" s="527">
        <f>+'Yr 4 Operating Statement of Act'!G234</f>
        <v>78993.021566820273</v>
      </c>
      <c r="K234" s="530">
        <f>+J234*(1+$M234)</f>
        <v>80375.399444239636</v>
      </c>
      <c r="L234" s="268"/>
      <c r="M234" s="354">
        <f>+$M$79</f>
        <v>1.7500000000000002E-2</v>
      </c>
    </row>
    <row r="235" spans="1:13" x14ac:dyDescent="0.2">
      <c r="A235" s="225">
        <v>170</v>
      </c>
      <c r="B235" s="37"/>
      <c r="C235" s="10"/>
      <c r="D235" s="10" t="s">
        <v>297</v>
      </c>
      <c r="E235" s="19" t="s">
        <v>149</v>
      </c>
      <c r="F235" s="20" t="s">
        <v>148</v>
      </c>
      <c r="G235" s="527">
        <f>+'Yr 1 Operating Statement of Act'!G235</f>
        <v>0</v>
      </c>
      <c r="H235" s="551">
        <f>+'Yr 2 Operating Statement of Act'!G235</f>
        <v>0</v>
      </c>
      <c r="I235" s="551">
        <f>+'Yr 3 Operating Statement of Act'!G235</f>
        <v>0</v>
      </c>
      <c r="J235" s="551">
        <f>+'Yr 4 Operating Statement of Act'!G235</f>
        <v>0</v>
      </c>
      <c r="K235" s="552"/>
      <c r="L235" s="268"/>
    </row>
    <row r="236" spans="1:13" x14ac:dyDescent="0.2">
      <c r="A236" s="225">
        <v>171</v>
      </c>
      <c r="B236" s="37"/>
      <c r="C236" s="10"/>
      <c r="D236" s="10" t="s">
        <v>85</v>
      </c>
      <c r="E236" s="19" t="s">
        <v>86</v>
      </c>
      <c r="F236" s="20" t="s">
        <v>148</v>
      </c>
      <c r="G236" s="527">
        <f>+'Yr 1 Operating Statement of Act'!G236</f>
        <v>0</v>
      </c>
      <c r="H236" s="551">
        <f>+'Yr 2 Operating Statement of Act'!G236</f>
        <v>0</v>
      </c>
      <c r="I236" s="551">
        <f>+'Yr 3 Operating Statement of Act'!G236</f>
        <v>0</v>
      </c>
      <c r="J236" s="551">
        <f>+'Yr 4 Operating Statement of Act'!G236</f>
        <v>0</v>
      </c>
      <c r="K236" s="552"/>
      <c r="L236" s="268"/>
    </row>
    <row r="237" spans="1:13" x14ac:dyDescent="0.2">
      <c r="A237" s="225">
        <v>172</v>
      </c>
      <c r="B237" s="37"/>
      <c r="C237" s="10"/>
      <c r="D237" s="10" t="s">
        <v>111</v>
      </c>
      <c r="E237" s="19" t="s">
        <v>112</v>
      </c>
      <c r="F237" s="20" t="s">
        <v>148</v>
      </c>
      <c r="G237" s="527">
        <f>+'Yr 1 Operating Statement of Act'!G237</f>
        <v>0</v>
      </c>
      <c r="H237" s="551">
        <f>+'Yr 2 Operating Statement of Act'!G237</f>
        <v>0</v>
      </c>
      <c r="I237" s="551">
        <f>+'Yr 3 Operating Statement of Act'!G237</f>
        <v>0</v>
      </c>
      <c r="J237" s="551">
        <f>+'Yr 4 Operating Statement of Act'!G237</f>
        <v>0</v>
      </c>
      <c r="K237" s="552"/>
      <c r="L237" s="268"/>
    </row>
    <row r="238" spans="1:13" x14ac:dyDescent="0.2">
      <c r="A238" s="225">
        <v>173</v>
      </c>
      <c r="B238" s="37"/>
      <c r="C238" s="10"/>
      <c r="D238" s="10" t="s">
        <v>150</v>
      </c>
      <c r="E238" s="19" t="s">
        <v>144</v>
      </c>
      <c r="F238" s="20" t="s">
        <v>148</v>
      </c>
      <c r="G238" s="527">
        <f>+'Yr 1 Operating Statement of Act'!G238</f>
        <v>0</v>
      </c>
      <c r="H238" s="551">
        <f>+'Yr 2 Operating Statement of Act'!G238</f>
        <v>0</v>
      </c>
      <c r="I238" s="551">
        <f>+'Yr 3 Operating Statement of Act'!G238</f>
        <v>0</v>
      </c>
      <c r="J238" s="551">
        <f>+'Yr 4 Operating Statement of Act'!G238</f>
        <v>0</v>
      </c>
      <c r="K238" s="552"/>
      <c r="L238" s="268"/>
    </row>
    <row r="239" spans="1:13" x14ac:dyDescent="0.2">
      <c r="A239" s="225">
        <v>174</v>
      </c>
      <c r="B239" s="37"/>
      <c r="C239" s="10"/>
      <c r="D239" s="10" t="s">
        <v>131</v>
      </c>
      <c r="E239" s="19" t="s">
        <v>132</v>
      </c>
      <c r="F239" s="20" t="s">
        <v>148</v>
      </c>
      <c r="G239" s="527">
        <f>+'Yr 1 Operating Statement of Act'!G239</f>
        <v>0</v>
      </c>
      <c r="H239" s="551">
        <f>+'Yr 2 Operating Statement of Act'!G239</f>
        <v>0</v>
      </c>
      <c r="I239" s="551">
        <f>+'Yr 3 Operating Statement of Act'!G239</f>
        <v>0</v>
      </c>
      <c r="J239" s="551">
        <f>+'Yr 4 Operating Statement of Act'!G239</f>
        <v>0</v>
      </c>
      <c r="K239" s="552"/>
      <c r="L239" s="268"/>
    </row>
    <row r="240" spans="1:13" x14ac:dyDescent="0.2">
      <c r="A240" s="225">
        <v>175</v>
      </c>
      <c r="B240" s="37"/>
      <c r="C240" s="10"/>
      <c r="D240" s="10" t="s">
        <v>87</v>
      </c>
      <c r="E240" s="19" t="s">
        <v>88</v>
      </c>
      <c r="F240" s="20" t="s">
        <v>148</v>
      </c>
      <c r="G240" s="527">
        <f>+'Yr 1 Operating Statement of Act'!G240</f>
        <v>0</v>
      </c>
      <c r="H240" s="551">
        <f>+'Yr 2 Operating Statement of Act'!G240</f>
        <v>0</v>
      </c>
      <c r="I240" s="551">
        <f>+'Yr 3 Operating Statement of Act'!G240</f>
        <v>0</v>
      </c>
      <c r="J240" s="551">
        <f>+'Yr 4 Operating Statement of Act'!G240</f>
        <v>0</v>
      </c>
      <c r="K240" s="552"/>
      <c r="L240" s="268"/>
    </row>
    <row r="241" spans="1:13" x14ac:dyDescent="0.2">
      <c r="A241" s="225">
        <v>176</v>
      </c>
      <c r="B241" s="37"/>
      <c r="C241" s="10"/>
      <c r="D241" s="10" t="s">
        <v>110</v>
      </c>
      <c r="E241" s="19" t="s">
        <v>90</v>
      </c>
      <c r="F241" s="20" t="s">
        <v>148</v>
      </c>
      <c r="G241" s="527">
        <f>+'Yr 1 Operating Statement of Act'!G241</f>
        <v>0</v>
      </c>
      <c r="H241" s="551">
        <f>+'Yr 2 Operating Statement of Act'!G241</f>
        <v>0</v>
      </c>
      <c r="I241" s="551">
        <f>+'Yr 3 Operating Statement of Act'!G241</f>
        <v>0</v>
      </c>
      <c r="J241" s="551">
        <f>+'Yr 4 Operating Statement of Act'!G241</f>
        <v>0</v>
      </c>
      <c r="K241" s="552"/>
      <c r="L241" s="268"/>
    </row>
    <row r="242" spans="1:13" x14ac:dyDescent="0.2">
      <c r="A242" s="225">
        <v>177</v>
      </c>
      <c r="B242" s="37"/>
      <c r="C242" s="10"/>
      <c r="D242" s="10" t="s">
        <v>93</v>
      </c>
      <c r="E242" s="19" t="s">
        <v>94</v>
      </c>
      <c r="F242" s="20" t="s">
        <v>148</v>
      </c>
      <c r="G242" s="527">
        <f>+'Yr 1 Operating Statement of Act'!G242</f>
        <v>0</v>
      </c>
      <c r="H242" s="551">
        <f>+'Yr 2 Operating Statement of Act'!G242</f>
        <v>0</v>
      </c>
      <c r="I242" s="551">
        <f>+'Yr 3 Operating Statement of Act'!G242</f>
        <v>0</v>
      </c>
      <c r="J242" s="551">
        <f>+'Yr 4 Operating Statement of Act'!G242</f>
        <v>0</v>
      </c>
      <c r="K242" s="552"/>
      <c r="L242" s="268"/>
    </row>
    <row r="243" spans="1:13" x14ac:dyDescent="0.2">
      <c r="A243" s="225">
        <v>178</v>
      </c>
      <c r="B243" s="37"/>
      <c r="C243" s="10"/>
      <c r="D243" s="10" t="s">
        <v>151</v>
      </c>
      <c r="E243" s="19" t="s">
        <v>152</v>
      </c>
      <c r="F243" s="20" t="s">
        <v>153</v>
      </c>
      <c r="G243" s="527">
        <f>+'Yr 1 Operating Statement of Act'!G243</f>
        <v>0</v>
      </c>
      <c r="H243" s="551">
        <f>+'Yr 2 Operating Statement of Act'!G243</f>
        <v>0</v>
      </c>
      <c r="I243" s="551">
        <f>+'Yr 3 Operating Statement of Act'!G243</f>
        <v>0</v>
      </c>
      <c r="J243" s="551">
        <f>+'Yr 4 Operating Statement of Act'!G243</f>
        <v>0</v>
      </c>
      <c r="K243" s="552"/>
      <c r="L243" s="268"/>
    </row>
    <row r="244" spans="1:13" x14ac:dyDescent="0.2">
      <c r="A244" s="225">
        <v>179</v>
      </c>
      <c r="B244" s="37"/>
      <c r="C244" s="10"/>
      <c r="D244" s="10" t="s">
        <v>95</v>
      </c>
      <c r="E244" s="19" t="s">
        <v>96</v>
      </c>
      <c r="F244" s="20" t="s">
        <v>148</v>
      </c>
      <c r="G244" s="527">
        <f>+'Yr 1 Operating Statement of Act'!G244</f>
        <v>0</v>
      </c>
      <c r="H244" s="551">
        <f>+'Yr 2 Operating Statement of Act'!G244</f>
        <v>0</v>
      </c>
      <c r="I244" s="551">
        <f>+'Yr 3 Operating Statement of Act'!G244</f>
        <v>0</v>
      </c>
      <c r="J244" s="551">
        <f>+'Yr 4 Operating Statement of Act'!G244</f>
        <v>0</v>
      </c>
      <c r="K244" s="552"/>
      <c r="L244" s="268"/>
    </row>
    <row r="245" spans="1:13" x14ac:dyDescent="0.2">
      <c r="A245" s="225">
        <v>180</v>
      </c>
      <c r="B245" s="37"/>
      <c r="C245" s="10"/>
      <c r="D245" s="10" t="s">
        <v>295</v>
      </c>
      <c r="E245" s="19" t="s">
        <v>97</v>
      </c>
      <c r="F245" s="20" t="s">
        <v>244</v>
      </c>
      <c r="G245" s="527">
        <f>+'Yr 1 Operating Statement of Act'!G245</f>
        <v>0</v>
      </c>
      <c r="H245" s="551">
        <f>+'Yr 2 Operating Statement of Act'!G245</f>
        <v>0</v>
      </c>
      <c r="I245" s="551">
        <f>+'Yr 3 Operating Statement of Act'!G245</f>
        <v>0</v>
      </c>
      <c r="J245" s="551">
        <f>+'Yr 4 Operating Statement of Act'!G245</f>
        <v>0</v>
      </c>
      <c r="K245" s="552"/>
      <c r="L245" s="268"/>
    </row>
    <row r="246" spans="1:13" x14ac:dyDescent="0.2">
      <c r="A246" s="225">
        <v>181</v>
      </c>
      <c r="B246" s="37"/>
      <c r="C246" s="10"/>
      <c r="D246" s="10" t="s">
        <v>98</v>
      </c>
      <c r="E246" s="19" t="s">
        <v>99</v>
      </c>
      <c r="F246" s="20" t="s">
        <v>244</v>
      </c>
      <c r="G246" s="527">
        <f>+'Yr 1 Operating Statement of Act'!G246</f>
        <v>0</v>
      </c>
      <c r="H246" s="551">
        <f>+'Yr 2 Operating Statement of Act'!G246</f>
        <v>0</v>
      </c>
      <c r="I246" s="551">
        <f>+'Yr 3 Operating Statement of Act'!G246</f>
        <v>0</v>
      </c>
      <c r="J246" s="551">
        <f>+'Yr 4 Operating Statement of Act'!G246</f>
        <v>0</v>
      </c>
      <c r="K246" s="552"/>
      <c r="L246" s="268"/>
    </row>
    <row r="247" spans="1:13" x14ac:dyDescent="0.2">
      <c r="A247" s="225">
        <v>182</v>
      </c>
      <c r="B247" s="37"/>
      <c r="C247" s="10"/>
      <c r="D247" s="10" t="s">
        <v>100</v>
      </c>
      <c r="E247" s="19" t="s">
        <v>101</v>
      </c>
      <c r="F247" s="20" t="s">
        <v>244</v>
      </c>
      <c r="G247" s="527">
        <f>+'Yr 1 Operating Statement of Act'!G247</f>
        <v>0</v>
      </c>
      <c r="H247" s="551">
        <f>+'Yr 2 Operating Statement of Act'!G247</f>
        <v>0</v>
      </c>
      <c r="I247" s="551">
        <f>+'Yr 3 Operating Statement of Act'!G247</f>
        <v>0</v>
      </c>
      <c r="J247" s="551">
        <f>+'Yr 4 Operating Statement of Act'!G247</f>
        <v>0</v>
      </c>
      <c r="K247" s="552"/>
      <c r="L247" s="268"/>
    </row>
    <row r="248" spans="1:13" x14ac:dyDescent="0.2">
      <c r="A248" s="225">
        <v>183</v>
      </c>
      <c r="B248" s="37"/>
      <c r="C248" s="10"/>
      <c r="D248" s="10" t="s">
        <v>219</v>
      </c>
      <c r="E248" s="19" t="s">
        <v>220</v>
      </c>
      <c r="F248" s="20" t="s">
        <v>244</v>
      </c>
      <c r="G248" s="527">
        <f>+'Yr 1 Operating Statement of Act'!G248</f>
        <v>0</v>
      </c>
      <c r="H248" s="551">
        <f>+'Yr 2 Operating Statement of Act'!G248</f>
        <v>0</v>
      </c>
      <c r="I248" s="551">
        <f>+'Yr 3 Operating Statement of Act'!G248</f>
        <v>0</v>
      </c>
      <c r="J248" s="551">
        <f>+'Yr 4 Operating Statement of Act'!G248</f>
        <v>0</v>
      </c>
      <c r="K248" s="552"/>
      <c r="L248" s="268"/>
    </row>
    <row r="249" spans="1:13" x14ac:dyDescent="0.2">
      <c r="A249" s="225">
        <v>184</v>
      </c>
      <c r="B249" s="37"/>
      <c r="C249" s="10"/>
      <c r="D249" s="10" t="s">
        <v>102</v>
      </c>
      <c r="E249" s="19" t="s">
        <v>103</v>
      </c>
      <c r="F249" s="20" t="s">
        <v>244</v>
      </c>
      <c r="G249" s="527">
        <f>+'Yr 1 Operating Statement of Act'!G249</f>
        <v>0</v>
      </c>
      <c r="H249" s="551">
        <f>+'Yr 2 Operating Statement of Act'!G249</f>
        <v>0</v>
      </c>
      <c r="I249" s="551">
        <f>+'Yr 3 Operating Statement of Act'!G249</f>
        <v>0</v>
      </c>
      <c r="J249" s="551">
        <f>+'Yr 4 Operating Statement of Act'!G249</f>
        <v>0</v>
      </c>
      <c r="K249" s="552"/>
      <c r="L249" s="268"/>
    </row>
    <row r="250" spans="1:13" x14ac:dyDescent="0.2">
      <c r="A250" s="225">
        <v>185</v>
      </c>
      <c r="B250" s="37"/>
      <c r="C250" s="10"/>
      <c r="D250" s="10" t="s">
        <v>104</v>
      </c>
      <c r="E250" s="19" t="s">
        <v>105</v>
      </c>
      <c r="F250" s="20" t="s">
        <v>244</v>
      </c>
      <c r="G250" s="527">
        <f>+'Yr 1 Operating Statement of Act'!G250</f>
        <v>0</v>
      </c>
      <c r="H250" s="551">
        <f>+'Yr 2 Operating Statement of Act'!G250</f>
        <v>0</v>
      </c>
      <c r="I250" s="551">
        <f>+'Yr 3 Operating Statement of Act'!G250</f>
        <v>0</v>
      </c>
      <c r="J250" s="551">
        <f>+'Yr 4 Operating Statement of Act'!G250</f>
        <v>0</v>
      </c>
      <c r="K250" s="552"/>
      <c r="L250" s="268"/>
    </row>
    <row r="251" spans="1:13" x14ac:dyDescent="0.2">
      <c r="A251" s="225">
        <v>186</v>
      </c>
      <c r="B251" s="37"/>
      <c r="C251" s="86"/>
      <c r="D251" s="10"/>
      <c r="E251" s="19"/>
      <c r="F251" s="20"/>
      <c r="G251" s="553"/>
      <c r="H251" s="551"/>
      <c r="I251" s="551"/>
      <c r="J251" s="551"/>
      <c r="K251" s="552"/>
      <c r="L251" s="268"/>
    </row>
    <row r="252" spans="1:13" x14ac:dyDescent="0.2">
      <c r="A252" s="225">
        <v>187</v>
      </c>
      <c r="B252" s="84"/>
      <c r="D252" s="14"/>
      <c r="E252" s="15"/>
      <c r="F252" s="16"/>
      <c r="G252" s="545"/>
      <c r="H252" s="546"/>
      <c r="I252" s="546"/>
      <c r="J252" s="546"/>
      <c r="K252" s="547"/>
      <c r="L252" s="283"/>
    </row>
    <row r="253" spans="1:13" x14ac:dyDescent="0.2">
      <c r="A253" s="226">
        <v>188</v>
      </c>
      <c r="B253" s="88" t="s">
        <v>154</v>
      </c>
      <c r="C253" s="7"/>
      <c r="D253" s="7"/>
      <c r="E253" s="50"/>
      <c r="F253" s="51"/>
      <c r="G253" s="554">
        <f>SUM(G233:G252)</f>
        <v>26649.193548387098</v>
      </c>
      <c r="H253" s="555">
        <f>SUM(H233:H252)</f>
        <v>44275.576036866361</v>
      </c>
      <c r="I253" s="555">
        <f>SUM(I233:I252)</f>
        <v>62771.124423963134</v>
      </c>
      <c r="J253" s="555">
        <f>SUM(J233:J252)</f>
        <v>78993.021566820273</v>
      </c>
      <c r="K253" s="556">
        <f>SUM(K233:K252)</f>
        <v>80375.399444239636</v>
      </c>
      <c r="L253" s="271"/>
    </row>
    <row r="254" spans="1:13" x14ac:dyDescent="0.2">
      <c r="A254" s="230"/>
      <c r="B254" s="36"/>
      <c r="C254" s="13"/>
      <c r="D254" s="13"/>
      <c r="E254" s="72"/>
      <c r="F254" s="73"/>
      <c r="G254" s="568"/>
      <c r="H254" s="569"/>
      <c r="I254" s="569"/>
      <c r="J254" s="569"/>
      <c r="K254" s="570"/>
      <c r="L254" s="266"/>
    </row>
    <row r="255" spans="1:13" s="5" customFormat="1" ht="15" x14ac:dyDescent="0.25">
      <c r="A255" s="225"/>
      <c r="B255" s="89" t="s">
        <v>28</v>
      </c>
      <c r="C255" s="54"/>
      <c r="D255" s="54"/>
      <c r="E255" s="78"/>
      <c r="F255" s="79"/>
      <c r="G255" s="391"/>
      <c r="H255" s="392"/>
      <c r="I255" s="392"/>
      <c r="J255" s="392"/>
      <c r="K255" s="393"/>
      <c r="L255" s="286"/>
    </row>
    <row r="256" spans="1:13" x14ac:dyDescent="0.2">
      <c r="A256" s="225">
        <v>189</v>
      </c>
      <c r="B256" s="37"/>
      <c r="C256" s="10" t="s">
        <v>298</v>
      </c>
      <c r="D256" s="10"/>
      <c r="E256" s="19" t="s">
        <v>222</v>
      </c>
      <c r="F256" s="20" t="s">
        <v>245</v>
      </c>
      <c r="G256" s="527">
        <f>+'Yr 1 Operating Statement of Act'!G256</f>
        <v>0</v>
      </c>
      <c r="H256" s="551">
        <f>+'Yr 2 Operating Statement of Act'!G256</f>
        <v>0</v>
      </c>
      <c r="I256" s="551">
        <f>+'Yr 3 Operating Statement of Act'!G256</f>
        <v>0</v>
      </c>
      <c r="J256" s="551">
        <f>+'Yr 4 Operating Statement of Act'!G256</f>
        <v>0</v>
      </c>
      <c r="K256" s="552">
        <f>+J256*(1+$M256)</f>
        <v>0</v>
      </c>
      <c r="L256" s="268"/>
      <c r="M256" s="354">
        <f>+$M$79</f>
        <v>1.7500000000000002E-2</v>
      </c>
    </row>
    <row r="257" spans="1:13" x14ac:dyDescent="0.2">
      <c r="A257" s="225">
        <v>190</v>
      </c>
      <c r="B257" s="37"/>
      <c r="C257" s="10" t="s">
        <v>83</v>
      </c>
      <c r="D257" s="10"/>
      <c r="E257" s="19" t="s">
        <v>84</v>
      </c>
      <c r="F257" s="20" t="s">
        <v>156</v>
      </c>
      <c r="G257" s="527">
        <f>+'Yr 1 Operating Statement of Act'!G257</f>
        <v>0</v>
      </c>
      <c r="H257" s="551">
        <f>+'Yr 2 Operating Statement of Act'!G257</f>
        <v>0</v>
      </c>
      <c r="I257" s="551">
        <f>+'Yr 3 Operating Statement of Act'!G257</f>
        <v>0</v>
      </c>
      <c r="J257" s="551">
        <f>+'Yr 4 Operating Statement of Act'!G257</f>
        <v>0</v>
      </c>
      <c r="K257" s="552"/>
      <c r="L257" s="268"/>
    </row>
    <row r="258" spans="1:13" x14ac:dyDescent="0.2">
      <c r="A258" s="225">
        <v>191</v>
      </c>
      <c r="B258" s="37"/>
      <c r="C258" s="10" t="s">
        <v>111</v>
      </c>
      <c r="D258" s="10"/>
      <c r="E258" s="19" t="s">
        <v>112</v>
      </c>
      <c r="F258" s="20" t="s">
        <v>157</v>
      </c>
      <c r="G258" s="527">
        <f>+'Yr 1 Operating Statement of Act'!G258</f>
        <v>43000</v>
      </c>
      <c r="H258" s="527">
        <f>+'Yr 2 Operating Statement of Act'!G258</f>
        <v>43860</v>
      </c>
      <c r="I258" s="527">
        <f>+'Yr 3 Operating Statement of Act'!G258</f>
        <v>44737.200000000004</v>
      </c>
      <c r="J258" s="527">
        <f>+'Yr 4 Operating Statement of Act'!G258</f>
        <v>45631.944000000003</v>
      </c>
      <c r="K258" s="530">
        <f>+J258*(1+$M258)</f>
        <v>46544.582880000002</v>
      </c>
      <c r="L258" s="268"/>
      <c r="M258" s="354">
        <f>+$M$82</f>
        <v>0.02</v>
      </c>
    </row>
    <row r="259" spans="1:13" x14ac:dyDescent="0.2">
      <c r="A259" s="225">
        <v>192</v>
      </c>
      <c r="B259" s="37"/>
      <c r="C259" s="10" t="s">
        <v>158</v>
      </c>
      <c r="D259" s="10"/>
      <c r="E259" s="19" t="s">
        <v>159</v>
      </c>
      <c r="F259" s="20" t="s">
        <v>156</v>
      </c>
      <c r="G259" s="527">
        <f>+'Yr 1 Operating Statement of Act'!G259</f>
        <v>0</v>
      </c>
      <c r="H259" s="551">
        <f>+'Yr 2 Operating Statement of Act'!G259</f>
        <v>0</v>
      </c>
      <c r="I259" s="551">
        <f>+'Yr 3 Operating Statement of Act'!G259</f>
        <v>0</v>
      </c>
      <c r="J259" s="551">
        <f>+'Yr 4 Operating Statement of Act'!G259</f>
        <v>0</v>
      </c>
      <c r="K259" s="552"/>
      <c r="L259" s="268"/>
    </row>
    <row r="260" spans="1:13" x14ac:dyDescent="0.2">
      <c r="A260" s="225">
        <v>193</v>
      </c>
      <c r="B260" s="37"/>
      <c r="C260" s="10" t="s">
        <v>110</v>
      </c>
      <c r="D260" s="10"/>
      <c r="E260" s="19" t="s">
        <v>90</v>
      </c>
      <c r="F260" s="20" t="s">
        <v>156</v>
      </c>
      <c r="G260" s="527">
        <f>+'Yr 1 Operating Statement of Act'!G260</f>
        <v>0</v>
      </c>
      <c r="H260" s="551">
        <f>+'Yr 2 Operating Statement of Act'!G260</f>
        <v>0</v>
      </c>
      <c r="I260" s="551">
        <f>+'Yr 3 Operating Statement of Act'!G260</f>
        <v>0</v>
      </c>
      <c r="J260" s="551">
        <f>+'Yr 4 Operating Statement of Act'!G260</f>
        <v>0</v>
      </c>
      <c r="K260" s="552"/>
      <c r="L260" s="268"/>
    </row>
    <row r="261" spans="1:13" x14ac:dyDescent="0.2">
      <c r="A261" s="225">
        <v>194</v>
      </c>
      <c r="B261" s="37"/>
      <c r="C261" s="10" t="s">
        <v>160</v>
      </c>
      <c r="D261" s="10"/>
      <c r="E261" s="19" t="s">
        <v>115</v>
      </c>
      <c r="F261" s="20" t="s">
        <v>156</v>
      </c>
      <c r="G261" s="527">
        <f>+'Yr 1 Operating Statement of Act'!G261</f>
        <v>0</v>
      </c>
      <c r="H261" s="551">
        <f>+'Yr 2 Operating Statement of Act'!G261</f>
        <v>0</v>
      </c>
      <c r="I261" s="551">
        <f>+'Yr 3 Operating Statement of Act'!G261</f>
        <v>0</v>
      </c>
      <c r="J261" s="551">
        <f>+'Yr 4 Operating Statement of Act'!G261</f>
        <v>0</v>
      </c>
      <c r="K261" s="552"/>
      <c r="L261" s="268"/>
    </row>
    <row r="262" spans="1:13" x14ac:dyDescent="0.2">
      <c r="A262" s="225">
        <v>195</v>
      </c>
      <c r="B262" s="37"/>
      <c r="C262" s="10" t="s">
        <v>93</v>
      </c>
      <c r="D262" s="10"/>
      <c r="E262" s="19" t="s">
        <v>94</v>
      </c>
      <c r="F262" s="20" t="s">
        <v>156</v>
      </c>
      <c r="G262" s="527">
        <f>+'Yr 1 Operating Statement of Act'!G262</f>
        <v>0</v>
      </c>
      <c r="H262" s="551">
        <f>+'Yr 2 Operating Statement of Act'!G262</f>
        <v>0</v>
      </c>
      <c r="I262" s="551">
        <f>+'Yr 3 Operating Statement of Act'!G262</f>
        <v>0</v>
      </c>
      <c r="J262" s="551">
        <f>+'Yr 4 Operating Statement of Act'!G262</f>
        <v>0</v>
      </c>
      <c r="K262" s="552"/>
      <c r="L262" s="268"/>
    </row>
    <row r="263" spans="1:13" x14ac:dyDescent="0.2">
      <c r="A263" s="225">
        <v>196</v>
      </c>
      <c r="B263" s="37"/>
      <c r="C263" s="10" t="s">
        <v>95</v>
      </c>
      <c r="D263" s="10"/>
      <c r="E263" s="19" t="s">
        <v>96</v>
      </c>
      <c r="F263" s="20" t="s">
        <v>156</v>
      </c>
      <c r="G263" s="527">
        <f>+'Yr 1 Operating Statement of Act'!G263</f>
        <v>0</v>
      </c>
      <c r="H263" s="551">
        <f>+'Yr 2 Operating Statement of Act'!G263</f>
        <v>0</v>
      </c>
      <c r="I263" s="551">
        <f>+'Yr 3 Operating Statement of Act'!G263</f>
        <v>0</v>
      </c>
      <c r="J263" s="551">
        <f>+'Yr 4 Operating Statement of Act'!G263</f>
        <v>0</v>
      </c>
      <c r="K263" s="552"/>
      <c r="L263" s="268"/>
    </row>
    <row r="264" spans="1:13" x14ac:dyDescent="0.2">
      <c r="A264" s="225"/>
      <c r="B264" s="37"/>
      <c r="C264" s="10" t="s">
        <v>161</v>
      </c>
      <c r="D264" s="10"/>
      <c r="E264" s="62"/>
      <c r="F264" s="63"/>
      <c r="G264" s="548"/>
      <c r="H264" s="549"/>
      <c r="I264" s="549"/>
      <c r="J264" s="549"/>
      <c r="K264" s="550"/>
      <c r="L264" s="267"/>
    </row>
    <row r="265" spans="1:13" x14ac:dyDescent="0.2">
      <c r="A265" s="225">
        <v>197</v>
      </c>
      <c r="B265" s="37"/>
      <c r="C265" s="10"/>
      <c r="D265" s="10" t="s">
        <v>162</v>
      </c>
      <c r="E265" s="19" t="s">
        <v>159</v>
      </c>
      <c r="F265" s="20" t="s">
        <v>155</v>
      </c>
      <c r="G265" s="527">
        <f>+'Yr 1 Operating Statement of Act'!G265</f>
        <v>0</v>
      </c>
      <c r="H265" s="551">
        <f>+'Yr 2 Operating Statement of Act'!G265</f>
        <v>0</v>
      </c>
      <c r="I265" s="551">
        <f>+'Yr 3 Operating Statement of Act'!G265</f>
        <v>0</v>
      </c>
      <c r="J265" s="551">
        <f>+'Yr 4 Operating Statement of Act'!G265</f>
        <v>0</v>
      </c>
      <c r="K265" s="552"/>
      <c r="L265" s="268"/>
    </row>
    <row r="266" spans="1:13" x14ac:dyDescent="0.2">
      <c r="A266" s="225">
        <v>198</v>
      </c>
      <c r="B266" s="37"/>
      <c r="C266" s="10"/>
      <c r="D266" s="10" t="s">
        <v>163</v>
      </c>
      <c r="E266" s="19" t="s">
        <v>164</v>
      </c>
      <c r="F266" s="20" t="s">
        <v>155</v>
      </c>
      <c r="G266" s="527">
        <f>+'Yr 1 Operating Statement of Act'!G266</f>
        <v>3125</v>
      </c>
      <c r="H266" s="527">
        <f>+'Yr 2 Operating Statement of Act'!G266</f>
        <v>6375</v>
      </c>
      <c r="I266" s="527">
        <f>+'Yr 3 Operating Statement of Act'!G266</f>
        <v>9753.75</v>
      </c>
      <c r="J266" s="527">
        <f>+'Yr 4 Operating Statement of Act'!G266</f>
        <v>13265.1</v>
      </c>
      <c r="K266" s="530">
        <f>+J266*(1+$M266)</f>
        <v>13530.402</v>
      </c>
      <c r="L266" s="268"/>
      <c r="M266" s="354">
        <f>+$M$82</f>
        <v>0.02</v>
      </c>
    </row>
    <row r="267" spans="1:13" x14ac:dyDescent="0.2">
      <c r="A267" s="225">
        <v>199</v>
      </c>
      <c r="B267" s="37"/>
      <c r="C267" s="10"/>
      <c r="D267" s="10" t="s">
        <v>165</v>
      </c>
      <c r="E267" s="19" t="s">
        <v>166</v>
      </c>
      <c r="F267" s="20" t="s">
        <v>155</v>
      </c>
      <c r="G267" s="527">
        <f>+'Yr 1 Operating Statement of Act'!G267</f>
        <v>2325</v>
      </c>
      <c r="H267" s="527">
        <f>+'Yr 2 Operating Statement of Act'!G267</f>
        <v>4743</v>
      </c>
      <c r="I267" s="527">
        <f>+'Yr 3 Operating Statement of Act'!G267</f>
        <v>7256.7899999999991</v>
      </c>
      <c r="J267" s="527">
        <f>+'Yr 4 Operating Statement of Act'!G267</f>
        <v>9869.2343999999994</v>
      </c>
      <c r="K267" s="530">
        <f>+J267*(1+$M267)</f>
        <v>10066.619087999999</v>
      </c>
      <c r="L267" s="268"/>
      <c r="M267" s="354">
        <f>+$M$82</f>
        <v>0.02</v>
      </c>
    </row>
    <row r="268" spans="1:13" x14ac:dyDescent="0.2">
      <c r="A268" s="225">
        <v>200</v>
      </c>
      <c r="B268" s="37"/>
      <c r="C268" s="10"/>
      <c r="D268" s="10" t="s">
        <v>167</v>
      </c>
      <c r="E268" s="19" t="s">
        <v>168</v>
      </c>
      <c r="F268" s="20" t="s">
        <v>155</v>
      </c>
      <c r="G268" s="527">
        <f>+'Yr 1 Operating Statement of Act'!G268</f>
        <v>42750</v>
      </c>
      <c r="H268" s="527">
        <f>+'Yr 2 Operating Statement of Act'!G268</f>
        <v>87210</v>
      </c>
      <c r="I268" s="527">
        <f>+'Yr 3 Operating Statement of Act'!G268</f>
        <v>133431.29999999999</v>
      </c>
      <c r="J268" s="527">
        <f>+'Yr 4 Operating Statement of Act'!G268</f>
        <v>181466.568</v>
      </c>
      <c r="K268" s="530">
        <f>+J268*(1+$M268)</f>
        <v>185095.89936000001</v>
      </c>
      <c r="L268" s="268"/>
      <c r="M268" s="354">
        <f>+$M$82</f>
        <v>0.02</v>
      </c>
    </row>
    <row r="269" spans="1:13" x14ac:dyDescent="0.2">
      <c r="A269" s="225">
        <v>201</v>
      </c>
      <c r="B269" s="37"/>
      <c r="C269" s="10"/>
      <c r="D269" s="10" t="s">
        <v>85</v>
      </c>
      <c r="E269" s="19" t="s">
        <v>86</v>
      </c>
      <c r="F269" s="20" t="s">
        <v>155</v>
      </c>
      <c r="G269" s="527">
        <f>+'Yr 1 Operating Statement of Act'!G269</f>
        <v>22587.548749234847</v>
      </c>
      <c r="H269" s="527">
        <f>+'Yr 2 Operating Statement of Act'!G269</f>
        <v>46078.59944843909</v>
      </c>
      <c r="I269" s="527">
        <f>+'Yr 3 Operating Statement of Act'!G269</f>
        <v>70500.257156111809</v>
      </c>
      <c r="J269" s="527">
        <f>+'Yr 4 Operating Statement of Act'!G269</f>
        <v>95880.349732312068</v>
      </c>
      <c r="K269" s="530">
        <f>+J269*(1+$M269)</f>
        <v>97797.956726958306</v>
      </c>
      <c r="L269" s="268"/>
      <c r="M269" s="354">
        <f>+$M$82</f>
        <v>0.02</v>
      </c>
    </row>
    <row r="270" spans="1:13" x14ac:dyDescent="0.2">
      <c r="A270" s="225">
        <v>202</v>
      </c>
      <c r="B270" s="37"/>
      <c r="C270" s="10"/>
      <c r="D270" s="10" t="s">
        <v>169</v>
      </c>
      <c r="E270" s="19" t="s">
        <v>170</v>
      </c>
      <c r="F270" s="20" t="s">
        <v>155</v>
      </c>
      <c r="G270" s="527">
        <f>+'Yr 1 Operating Statement of Act'!G270</f>
        <v>20650</v>
      </c>
      <c r="H270" s="527">
        <f>+'Yr 2 Operating Statement of Act'!G270</f>
        <v>40922.400000000001</v>
      </c>
      <c r="I270" s="527">
        <f>+'Yr 3 Operating Statement of Act'!G270</f>
        <v>61383.6</v>
      </c>
      <c r="J270" s="527">
        <f>+'Yr 4 Operating Statement of Act'!G270</f>
        <v>82020.766319999995</v>
      </c>
      <c r="K270" s="530">
        <f>+J270*(1+$M270)</f>
        <v>83661.1816464</v>
      </c>
      <c r="L270" s="268"/>
      <c r="M270" s="354">
        <f>+$M$82</f>
        <v>0.02</v>
      </c>
    </row>
    <row r="271" spans="1:13" x14ac:dyDescent="0.2">
      <c r="A271" s="225">
        <v>203</v>
      </c>
      <c r="B271" s="37"/>
      <c r="C271" s="10"/>
      <c r="D271" s="10" t="s">
        <v>171</v>
      </c>
      <c r="E271" s="19" t="s">
        <v>144</v>
      </c>
      <c r="F271" s="20" t="s">
        <v>155</v>
      </c>
      <c r="G271" s="527">
        <f>+'Yr 1 Operating Statement of Act'!G271</f>
        <v>0</v>
      </c>
      <c r="H271" s="551">
        <f>+'Yr 2 Operating Statement of Act'!G271</f>
        <v>0</v>
      </c>
      <c r="I271" s="551">
        <f>+'Yr 3 Operating Statement of Act'!G271</f>
        <v>0</v>
      </c>
      <c r="J271" s="551">
        <f>+'Yr 4 Operating Statement of Act'!G271</f>
        <v>0</v>
      </c>
      <c r="K271" s="552">
        <v>0</v>
      </c>
      <c r="L271" s="268"/>
    </row>
    <row r="272" spans="1:13" x14ac:dyDescent="0.2">
      <c r="A272" s="225">
        <v>204</v>
      </c>
      <c r="B272" s="37"/>
      <c r="C272" s="10"/>
      <c r="D272" s="10" t="s">
        <v>248</v>
      </c>
      <c r="E272" s="19" t="s">
        <v>249</v>
      </c>
      <c r="F272" s="20" t="s">
        <v>155</v>
      </c>
      <c r="G272" s="527">
        <f>+'Yr 1 Operating Statement of Act'!G272</f>
        <v>45000</v>
      </c>
      <c r="H272" s="527">
        <f>+'Yr 2 Operating Statement of Act'!G272</f>
        <v>91800</v>
      </c>
      <c r="I272" s="527">
        <f>+'Yr 3 Operating Statement of Act'!G272</f>
        <v>140454</v>
      </c>
      <c r="J272" s="527">
        <f>+'Yr 4 Operating Statement of Act'!G272</f>
        <v>191017.44</v>
      </c>
      <c r="K272" s="530">
        <f>+J272*(1+$M272)</f>
        <v>194837.78880000001</v>
      </c>
      <c r="L272" s="268"/>
      <c r="M272" s="354">
        <f>+$M$82</f>
        <v>0.02</v>
      </c>
    </row>
    <row r="273" spans="1:14" x14ac:dyDescent="0.2">
      <c r="A273" s="225">
        <v>205</v>
      </c>
      <c r="B273" s="37"/>
      <c r="C273" s="10" t="s">
        <v>172</v>
      </c>
      <c r="D273" s="10"/>
      <c r="E273" s="19" t="s">
        <v>251</v>
      </c>
      <c r="F273" s="20">
        <v>2630</v>
      </c>
      <c r="G273" s="527">
        <f>+'Yr 1 Operating Statement of Act'!G273</f>
        <v>1375</v>
      </c>
      <c r="H273" s="527">
        <f>+'Yr 2 Operating Statement of Act'!G273</f>
        <v>2805</v>
      </c>
      <c r="I273" s="527">
        <f>+'Yr 3 Operating Statement of Act'!G273</f>
        <v>4291.6499999999996</v>
      </c>
      <c r="J273" s="527">
        <f>+'Yr 4 Operating Statement of Act'!G273</f>
        <v>5836.6440000000002</v>
      </c>
      <c r="K273" s="530">
        <f>+J273*(1+$M273)</f>
        <v>5953.3768800000007</v>
      </c>
      <c r="L273" s="268"/>
      <c r="M273" s="354">
        <f>+$M$82</f>
        <v>0.02</v>
      </c>
    </row>
    <row r="274" spans="1:14" x14ac:dyDescent="0.2">
      <c r="A274" s="225">
        <v>206</v>
      </c>
      <c r="B274" s="37"/>
      <c r="C274" s="10" t="s">
        <v>173</v>
      </c>
      <c r="D274" s="10"/>
      <c r="E274" s="19" t="s">
        <v>251</v>
      </c>
      <c r="F274" s="20">
        <v>2640</v>
      </c>
      <c r="G274" s="527">
        <f>+'Yr 1 Operating Statement of Act'!G274</f>
        <v>1250</v>
      </c>
      <c r="H274" s="527">
        <f>+'Yr 2 Operating Statement of Act'!G274</f>
        <v>2550</v>
      </c>
      <c r="I274" s="527">
        <f>+'Yr 3 Operating Statement of Act'!G274</f>
        <v>3901.5</v>
      </c>
      <c r="J274" s="527">
        <f>+'Yr 4 Operating Statement of Act'!G274</f>
        <v>5306.04</v>
      </c>
      <c r="K274" s="530">
        <f>+J274*(1+$M274)</f>
        <v>5412.1607999999997</v>
      </c>
      <c r="L274" s="268"/>
      <c r="M274" s="354">
        <f>+$M$82</f>
        <v>0.02</v>
      </c>
    </row>
    <row r="275" spans="1:14" x14ac:dyDescent="0.2">
      <c r="A275" s="225">
        <v>207</v>
      </c>
      <c r="B275" s="37"/>
      <c r="C275" s="10" t="s">
        <v>174</v>
      </c>
      <c r="D275" s="10"/>
      <c r="E275" s="19" t="s">
        <v>221</v>
      </c>
      <c r="F275" s="20" t="s">
        <v>245</v>
      </c>
      <c r="G275" s="527">
        <f>+'Yr 1 Operating Statement of Act'!G275</f>
        <v>0</v>
      </c>
      <c r="H275" s="551">
        <f>+'Yr 2 Operating Statement of Act'!G275</f>
        <v>0</v>
      </c>
      <c r="I275" s="551">
        <f>+'Yr 3 Operating Statement of Act'!G275</f>
        <v>0</v>
      </c>
      <c r="J275" s="551">
        <f>+'Yr 4 Operating Statement of Act'!G275</f>
        <v>0</v>
      </c>
      <c r="K275" s="552">
        <v>0</v>
      </c>
      <c r="L275" s="268"/>
    </row>
    <row r="276" spans="1:14" x14ac:dyDescent="0.2">
      <c r="A276" s="225">
        <v>208</v>
      </c>
      <c r="B276" s="37"/>
      <c r="C276" s="10" t="s">
        <v>295</v>
      </c>
      <c r="D276" s="10"/>
      <c r="E276" s="19" t="s">
        <v>97</v>
      </c>
      <c r="F276" s="20" t="s">
        <v>245</v>
      </c>
      <c r="G276" s="527">
        <f>+'Yr 1 Operating Statement of Act'!G276</f>
        <v>0</v>
      </c>
      <c r="H276" s="551">
        <f>+'Yr 2 Operating Statement of Act'!G276</f>
        <v>0</v>
      </c>
      <c r="I276" s="551">
        <f>+'Yr 3 Operating Statement of Act'!G276</f>
        <v>0</v>
      </c>
      <c r="J276" s="551">
        <f>+'Yr 4 Operating Statement of Act'!G276</f>
        <v>0</v>
      </c>
      <c r="K276" s="551">
        <f>SUM(K$256:K$256)*$N276</f>
        <v>0</v>
      </c>
      <c r="L276" s="268"/>
      <c r="N276" s="355">
        <f>'KIPP Assumptions'!$B$105+'KIPP Assumptions'!$B$106+'KIPP Assumptions'!$B$107+'KIPP Assumptions'!$B$108+'KIPP Assumptions'!$B$109</f>
        <v>7.0773334087038758E-2</v>
      </c>
    </row>
    <row r="277" spans="1:14" x14ac:dyDescent="0.2">
      <c r="A277" s="225">
        <v>209</v>
      </c>
      <c r="B277" s="37"/>
      <c r="C277" s="10" t="s">
        <v>98</v>
      </c>
      <c r="D277" s="10"/>
      <c r="E277" s="19" t="s">
        <v>99</v>
      </c>
      <c r="F277" s="20" t="s">
        <v>245</v>
      </c>
      <c r="G277" s="527">
        <f>+'Yr 1 Operating Statement of Act'!G277</f>
        <v>0</v>
      </c>
      <c r="H277" s="551">
        <f>+'Yr 2 Operating Statement of Act'!G277</f>
        <v>0</v>
      </c>
      <c r="I277" s="551">
        <f>+'Yr 3 Operating Statement of Act'!G277</f>
        <v>0</v>
      </c>
      <c r="J277" s="551">
        <f>+'Yr 4 Operating Statement of Act'!G277</f>
        <v>0</v>
      </c>
      <c r="K277" s="551">
        <f>SUM(K$256:K$256)*$N277</f>
        <v>0</v>
      </c>
      <c r="L277" s="268"/>
      <c r="N277" s="355">
        <f>'KIPP Assumptions'!$B$111</f>
        <v>6.2E-2</v>
      </c>
    </row>
    <row r="278" spans="1:14" x14ac:dyDescent="0.2">
      <c r="A278" s="225">
        <v>210</v>
      </c>
      <c r="B278" s="37"/>
      <c r="C278" s="10" t="s">
        <v>100</v>
      </c>
      <c r="D278" s="10"/>
      <c r="E278" s="19" t="s">
        <v>101</v>
      </c>
      <c r="F278" s="20" t="s">
        <v>245</v>
      </c>
      <c r="G278" s="527">
        <f>+'Yr 1 Operating Statement of Act'!G278</f>
        <v>0</v>
      </c>
      <c r="H278" s="551">
        <f>+'Yr 2 Operating Statement of Act'!G278</f>
        <v>0</v>
      </c>
      <c r="I278" s="551">
        <f>+'Yr 3 Operating Statement of Act'!G278</f>
        <v>0</v>
      </c>
      <c r="J278" s="551">
        <f>+'Yr 4 Operating Statement of Act'!G278</f>
        <v>0</v>
      </c>
      <c r="K278" s="551">
        <f>SUM(K$256:K$256)*$N278</f>
        <v>0</v>
      </c>
      <c r="L278" s="268"/>
      <c r="N278" s="355">
        <f>'KIPP Assumptions'!$B$110</f>
        <v>1.4500000000000001E-2</v>
      </c>
    </row>
    <row r="279" spans="1:14" x14ac:dyDescent="0.2">
      <c r="A279" s="225">
        <v>211</v>
      </c>
      <c r="B279" s="37"/>
      <c r="C279" s="10" t="s">
        <v>219</v>
      </c>
      <c r="D279" s="10"/>
      <c r="E279" s="19" t="s">
        <v>220</v>
      </c>
      <c r="F279" s="20" t="s">
        <v>245</v>
      </c>
      <c r="G279" s="527">
        <f>+'Yr 1 Operating Statement of Act'!G279</f>
        <v>0</v>
      </c>
      <c r="H279" s="551">
        <f>+'Yr 2 Operating Statement of Act'!G279</f>
        <v>0</v>
      </c>
      <c r="I279" s="551">
        <f>+'Yr 3 Operating Statement of Act'!G279</f>
        <v>0</v>
      </c>
      <c r="J279" s="551">
        <f>+'Yr 4 Operating Statement of Act'!G279</f>
        <v>0</v>
      </c>
      <c r="K279" s="551">
        <f>SUM(K$256:K$256)*$N279</f>
        <v>0</v>
      </c>
      <c r="L279" s="268"/>
      <c r="N279" s="355">
        <f>+'KIPP Assumptions'!$B$113</f>
        <v>3.21290868212155E-2</v>
      </c>
    </row>
    <row r="280" spans="1:14" x14ac:dyDescent="0.2">
      <c r="A280" s="225">
        <v>212</v>
      </c>
      <c r="B280" s="37"/>
      <c r="C280" s="10" t="s">
        <v>102</v>
      </c>
      <c r="D280" s="10"/>
      <c r="E280" s="19" t="s">
        <v>103</v>
      </c>
      <c r="F280" s="20" t="s">
        <v>245</v>
      </c>
      <c r="G280" s="527">
        <f>+'Yr 1 Operating Statement of Act'!G280</f>
        <v>0</v>
      </c>
      <c r="H280" s="551">
        <f>+'Yr 2 Operating Statement of Act'!G280</f>
        <v>0</v>
      </c>
      <c r="I280" s="551">
        <f>+'Yr 3 Operating Statement of Act'!G280</f>
        <v>0</v>
      </c>
      <c r="J280" s="551">
        <f>+'Yr 4 Operating Statement of Act'!G280</f>
        <v>0</v>
      </c>
      <c r="K280" s="551">
        <f>SUM(K$256:K$256)*$N280</f>
        <v>0</v>
      </c>
      <c r="L280" s="268"/>
      <c r="N280" s="355">
        <f>+'KIPP Assumptions'!$B$112</f>
        <v>1E-3</v>
      </c>
    </row>
    <row r="281" spans="1:14" x14ac:dyDescent="0.2">
      <c r="A281" s="225">
        <v>213</v>
      </c>
      <c r="B281" s="37"/>
      <c r="C281" s="10" t="s">
        <v>104</v>
      </c>
      <c r="D281" s="10"/>
      <c r="E281" s="19" t="s">
        <v>105</v>
      </c>
      <c r="F281" s="20" t="s">
        <v>245</v>
      </c>
      <c r="G281" s="527">
        <f>+'Yr 1 Operating Statement of Act'!G281</f>
        <v>0</v>
      </c>
      <c r="H281" s="551">
        <f>+'Yr 2 Operating Statement of Act'!G281</f>
        <v>0</v>
      </c>
      <c r="I281" s="551">
        <f>+'Yr 3 Operating Statement of Act'!G281</f>
        <v>0</v>
      </c>
      <c r="J281" s="551">
        <f>+'Yr 4 Operating Statement of Act'!G281</f>
        <v>0</v>
      </c>
      <c r="K281" s="552"/>
      <c r="L281" s="268"/>
    </row>
    <row r="282" spans="1:14" x14ac:dyDescent="0.2">
      <c r="A282" s="225">
        <v>214</v>
      </c>
      <c r="B282" s="37"/>
      <c r="C282" s="86" t="s">
        <v>283</v>
      </c>
      <c r="D282" s="10"/>
      <c r="E282" s="19"/>
      <c r="F282" s="20"/>
      <c r="G282" s="553"/>
      <c r="H282" s="551"/>
      <c r="I282" s="551"/>
      <c r="J282" s="551"/>
      <c r="K282" s="552"/>
      <c r="L282" s="268"/>
    </row>
    <row r="283" spans="1:14" x14ac:dyDescent="0.2">
      <c r="A283" s="225">
        <v>215</v>
      </c>
      <c r="B283" s="37"/>
      <c r="C283" s="86"/>
      <c r="D283" s="10"/>
      <c r="E283" s="19"/>
      <c r="F283" s="20"/>
      <c r="G283" s="553"/>
      <c r="H283" s="551"/>
      <c r="I283" s="551"/>
      <c r="J283" s="551"/>
      <c r="K283" s="552"/>
      <c r="L283" s="268"/>
    </row>
    <row r="284" spans="1:14" x14ac:dyDescent="0.2">
      <c r="A284" s="225">
        <v>216</v>
      </c>
      <c r="B284" s="37"/>
      <c r="C284" s="10"/>
      <c r="D284" s="10"/>
      <c r="E284" s="19"/>
      <c r="F284" s="20"/>
      <c r="G284" s="553"/>
      <c r="H284" s="551"/>
      <c r="I284" s="551"/>
      <c r="J284" s="551"/>
      <c r="K284" s="552"/>
      <c r="L284" s="268"/>
    </row>
    <row r="285" spans="1:14" ht="15" x14ac:dyDescent="0.25">
      <c r="A285" s="226">
        <v>217</v>
      </c>
      <c r="B285" s="88" t="s">
        <v>175</v>
      </c>
      <c r="C285" s="52"/>
      <c r="D285" s="52"/>
      <c r="E285" s="50"/>
      <c r="F285" s="51"/>
      <c r="G285" s="554">
        <f>SUM(G256:G284)</f>
        <v>182062.54874923485</v>
      </c>
      <c r="H285" s="555">
        <f>SUM(H256:H284)</f>
        <v>326343.99944843911</v>
      </c>
      <c r="I285" s="555">
        <f>SUM(I256:I284)</f>
        <v>475710.0471561118</v>
      </c>
      <c r="J285" s="555">
        <f>SUM(J256:J284)</f>
        <v>630294.08645231207</v>
      </c>
      <c r="K285" s="556">
        <f>SUM(K256:K284)</f>
        <v>642899.9681813583</v>
      </c>
      <c r="L285" s="271"/>
    </row>
    <row r="286" spans="1:14" x14ac:dyDescent="0.2">
      <c r="A286" s="225"/>
      <c r="B286" s="37"/>
      <c r="C286" s="10"/>
      <c r="D286" s="10"/>
      <c r="E286" s="62"/>
      <c r="F286" s="63"/>
      <c r="G286" s="548"/>
      <c r="H286" s="549"/>
      <c r="I286" s="549"/>
      <c r="J286" s="549"/>
      <c r="K286" s="550"/>
      <c r="L286" s="267"/>
    </row>
    <row r="287" spans="1:14" s="5" customFormat="1" ht="15" x14ac:dyDescent="0.25">
      <c r="A287" s="225"/>
      <c r="B287" s="89" t="s">
        <v>29</v>
      </c>
      <c r="C287" s="54"/>
      <c r="D287" s="54"/>
      <c r="E287" s="78"/>
      <c r="F287" s="79"/>
      <c r="G287" s="391"/>
      <c r="H287" s="392"/>
      <c r="I287" s="392"/>
      <c r="J287" s="392"/>
      <c r="K287" s="393"/>
      <c r="L287" s="286"/>
    </row>
    <row r="288" spans="1:14" x14ac:dyDescent="0.2">
      <c r="A288" s="225">
        <v>218</v>
      </c>
      <c r="B288" s="37"/>
      <c r="C288" s="10" t="s">
        <v>83</v>
      </c>
      <c r="D288" s="10"/>
      <c r="E288" s="19" t="s">
        <v>246</v>
      </c>
      <c r="F288" s="20" t="s">
        <v>247</v>
      </c>
      <c r="G288" s="527">
        <f>+'Yr 1 Operating Statement of Act'!G288</f>
        <v>0</v>
      </c>
      <c r="H288" s="551">
        <f>+'Yr 2 Operating Statement of Act'!G288</f>
        <v>0</v>
      </c>
      <c r="I288" s="551">
        <f>+'Yr 3 Operating Statement of Act'!G288</f>
        <v>0</v>
      </c>
      <c r="J288" s="551">
        <f>+'Yr 4 Operating Statement of Act'!G288</f>
        <v>0</v>
      </c>
      <c r="K288" s="552"/>
      <c r="L288" s="268"/>
    </row>
    <row r="289" spans="1:13" x14ac:dyDescent="0.2">
      <c r="A289" s="225"/>
      <c r="B289" s="37"/>
      <c r="C289" s="10" t="s">
        <v>176</v>
      </c>
      <c r="D289" s="10"/>
      <c r="E289" s="62"/>
      <c r="F289" s="63"/>
      <c r="G289" s="548"/>
      <c r="H289" s="549"/>
      <c r="I289" s="549"/>
      <c r="J289" s="549"/>
      <c r="K289" s="550"/>
      <c r="L289" s="267"/>
    </row>
    <row r="290" spans="1:13" x14ac:dyDescent="0.2">
      <c r="A290" s="225">
        <v>219</v>
      </c>
      <c r="B290" s="37"/>
      <c r="C290" s="10" t="s">
        <v>33</v>
      </c>
      <c r="D290" s="10" t="s">
        <v>299</v>
      </c>
      <c r="E290" s="19" t="s">
        <v>222</v>
      </c>
      <c r="F290" s="20" t="s">
        <v>247</v>
      </c>
      <c r="G290" s="527">
        <f>+'Yr 1 Operating Statement of Act'!G290</f>
        <v>0</v>
      </c>
      <c r="H290" s="551">
        <f>+'Yr 2 Operating Statement of Act'!G290</f>
        <v>0</v>
      </c>
      <c r="I290" s="551">
        <f>+'Yr 3 Operating Statement of Act'!G290</f>
        <v>0</v>
      </c>
      <c r="J290" s="551">
        <f>+'Yr 4 Operating Statement of Act'!G290</f>
        <v>0</v>
      </c>
      <c r="K290" s="552"/>
      <c r="L290" s="268"/>
    </row>
    <row r="291" spans="1:13" x14ac:dyDescent="0.2">
      <c r="A291" s="225">
        <v>220</v>
      </c>
      <c r="B291" s="37"/>
      <c r="C291" s="10"/>
      <c r="D291" s="10" t="s">
        <v>85</v>
      </c>
      <c r="E291" s="19" t="s">
        <v>86</v>
      </c>
      <c r="F291" s="20" t="s">
        <v>177</v>
      </c>
      <c r="G291" s="527">
        <f>+'Yr 1 Operating Statement of Act'!G291</f>
        <v>0</v>
      </c>
      <c r="H291" s="551">
        <f>+'Yr 2 Operating Statement of Act'!G291</f>
        <v>0</v>
      </c>
      <c r="I291" s="551">
        <f>+'Yr 3 Operating Statement of Act'!G291</f>
        <v>0</v>
      </c>
      <c r="J291" s="551">
        <f>+'Yr 4 Operating Statement of Act'!G291</f>
        <v>0</v>
      </c>
      <c r="K291" s="552"/>
      <c r="L291" s="268"/>
    </row>
    <row r="292" spans="1:13" x14ac:dyDescent="0.2">
      <c r="A292" s="225">
        <v>221</v>
      </c>
      <c r="B292" s="37"/>
      <c r="C292" s="10"/>
      <c r="D292" s="10" t="s">
        <v>178</v>
      </c>
      <c r="E292" s="19" t="s">
        <v>179</v>
      </c>
      <c r="F292" s="20" t="s">
        <v>177</v>
      </c>
      <c r="G292" s="527">
        <f>+'Yr 1 Operating Statement of Act'!G292</f>
        <v>184090.90909090912</v>
      </c>
      <c r="H292" s="527">
        <f>+'Yr 2 Operating Statement of Act'!G292</f>
        <v>375545.45454545459</v>
      </c>
      <c r="I292" s="527">
        <f>+'Yr 3 Operating Statement of Act'!G292</f>
        <v>510741.81818181823</v>
      </c>
      <c r="J292" s="527">
        <f>+'Yr 4 Operating Statement of Act'!G292</f>
        <v>716315.4</v>
      </c>
      <c r="K292" s="530">
        <f>+J292*(1+$M292)</f>
        <v>730641.70799999998</v>
      </c>
      <c r="L292" s="268"/>
      <c r="M292" s="354">
        <f>+$M$82</f>
        <v>0.02</v>
      </c>
    </row>
    <row r="293" spans="1:13" x14ac:dyDescent="0.2">
      <c r="A293" s="225">
        <v>222</v>
      </c>
      <c r="B293" s="37"/>
      <c r="C293" s="10"/>
      <c r="D293" s="10" t="s">
        <v>113</v>
      </c>
      <c r="E293" s="19" t="s">
        <v>114</v>
      </c>
      <c r="F293" s="20" t="s">
        <v>177</v>
      </c>
      <c r="G293" s="527">
        <f>+'Yr 1 Operating Statement of Act'!G293</f>
        <v>0</v>
      </c>
      <c r="H293" s="551">
        <f>+'Yr 2 Operating Statement of Act'!G293</f>
        <v>0</v>
      </c>
      <c r="I293" s="551">
        <f>+'Yr 3 Operating Statement of Act'!G293</f>
        <v>0</v>
      </c>
      <c r="J293" s="551">
        <f>+'Yr 4 Operating Statement of Act'!G293</f>
        <v>0</v>
      </c>
      <c r="K293" s="552"/>
      <c r="L293" s="268"/>
    </row>
    <row r="294" spans="1:13" x14ac:dyDescent="0.2">
      <c r="A294" s="225">
        <v>223</v>
      </c>
      <c r="B294" s="37"/>
      <c r="C294" s="10"/>
      <c r="D294" s="10" t="s">
        <v>110</v>
      </c>
      <c r="E294" s="19" t="s">
        <v>90</v>
      </c>
      <c r="F294" s="20" t="s">
        <v>177</v>
      </c>
      <c r="G294" s="527">
        <f>+'Yr 1 Operating Statement of Act'!G294</f>
        <v>0</v>
      </c>
      <c r="H294" s="551">
        <f>+'Yr 2 Operating Statement of Act'!G294</f>
        <v>0</v>
      </c>
      <c r="I294" s="551">
        <f>+'Yr 3 Operating Statement of Act'!G294</f>
        <v>0</v>
      </c>
      <c r="J294" s="551">
        <f>+'Yr 4 Operating Statement of Act'!G294</f>
        <v>0</v>
      </c>
      <c r="K294" s="552"/>
      <c r="L294" s="268"/>
    </row>
    <row r="295" spans="1:13" x14ac:dyDescent="0.2">
      <c r="A295" s="225">
        <v>224</v>
      </c>
      <c r="B295" s="37"/>
      <c r="C295" s="10"/>
      <c r="D295" s="10" t="s">
        <v>180</v>
      </c>
      <c r="E295" s="19" t="s">
        <v>115</v>
      </c>
      <c r="F295" s="20" t="s">
        <v>177</v>
      </c>
      <c r="G295" s="527">
        <f>+'Yr 1 Operating Statement of Act'!G295</f>
        <v>0</v>
      </c>
      <c r="H295" s="551">
        <f>+'Yr 2 Operating Statement of Act'!G295</f>
        <v>0</v>
      </c>
      <c r="I295" s="551">
        <f>+'Yr 3 Operating Statement of Act'!G295</f>
        <v>0</v>
      </c>
      <c r="J295" s="551">
        <f>+'Yr 4 Operating Statement of Act'!G295</f>
        <v>0</v>
      </c>
      <c r="K295" s="552"/>
      <c r="L295" s="268"/>
    </row>
    <row r="296" spans="1:13" x14ac:dyDescent="0.2">
      <c r="A296" s="225">
        <v>225</v>
      </c>
      <c r="B296" s="37"/>
      <c r="C296" s="10"/>
      <c r="D296" s="10" t="s">
        <v>93</v>
      </c>
      <c r="E296" s="19" t="s">
        <v>94</v>
      </c>
      <c r="F296" s="20" t="s">
        <v>177</v>
      </c>
      <c r="G296" s="527">
        <f>+'Yr 1 Operating Statement of Act'!G296</f>
        <v>0</v>
      </c>
      <c r="H296" s="551">
        <f>+'Yr 2 Operating Statement of Act'!G296</f>
        <v>0</v>
      </c>
      <c r="I296" s="551">
        <f>+'Yr 3 Operating Statement of Act'!G296</f>
        <v>0</v>
      </c>
      <c r="J296" s="551">
        <f>+'Yr 4 Operating Statement of Act'!G296</f>
        <v>0</v>
      </c>
      <c r="K296" s="552"/>
      <c r="L296" s="268"/>
    </row>
    <row r="297" spans="1:13" x14ac:dyDescent="0.2">
      <c r="A297" s="225">
        <v>226</v>
      </c>
      <c r="B297" s="37"/>
      <c r="C297" s="10"/>
      <c r="D297" s="10" t="s">
        <v>95</v>
      </c>
      <c r="E297" s="19" t="s">
        <v>96</v>
      </c>
      <c r="F297" s="20" t="s">
        <v>177</v>
      </c>
      <c r="G297" s="527">
        <f>+'Yr 1 Operating Statement of Act'!G297</f>
        <v>0</v>
      </c>
      <c r="H297" s="551">
        <f>+'Yr 2 Operating Statement of Act'!G297</f>
        <v>0</v>
      </c>
      <c r="I297" s="551">
        <f>+'Yr 3 Operating Statement of Act'!G297</f>
        <v>0</v>
      </c>
      <c r="J297" s="551">
        <f>+'Yr 4 Operating Statement of Act'!G297</f>
        <v>0</v>
      </c>
      <c r="K297" s="552"/>
      <c r="L297" s="268"/>
    </row>
    <row r="298" spans="1:13" x14ac:dyDescent="0.2">
      <c r="A298" s="225">
        <v>227</v>
      </c>
      <c r="B298" s="37"/>
      <c r="C298" s="10"/>
      <c r="D298" s="10" t="s">
        <v>295</v>
      </c>
      <c r="E298" s="19" t="s">
        <v>97</v>
      </c>
      <c r="F298" s="20" t="s">
        <v>247</v>
      </c>
      <c r="G298" s="527">
        <f>+'Yr 1 Operating Statement of Act'!G298</f>
        <v>0</v>
      </c>
      <c r="H298" s="551">
        <f>+'Yr 2 Operating Statement of Act'!G298</f>
        <v>0</v>
      </c>
      <c r="I298" s="551">
        <f>+'Yr 3 Operating Statement of Act'!G298</f>
        <v>0</v>
      </c>
      <c r="J298" s="551">
        <f>+'Yr 4 Operating Statement of Act'!G298</f>
        <v>0</v>
      </c>
      <c r="K298" s="552"/>
      <c r="L298" s="268"/>
    </row>
    <row r="299" spans="1:13" x14ac:dyDescent="0.2">
      <c r="A299" s="225">
        <v>228</v>
      </c>
      <c r="B299" s="37"/>
      <c r="C299" s="10"/>
      <c r="D299" s="10" t="s">
        <v>98</v>
      </c>
      <c r="E299" s="19" t="s">
        <v>99</v>
      </c>
      <c r="F299" s="20" t="s">
        <v>247</v>
      </c>
      <c r="G299" s="527">
        <f>+'Yr 1 Operating Statement of Act'!G299</f>
        <v>0</v>
      </c>
      <c r="H299" s="551">
        <f>+'Yr 2 Operating Statement of Act'!G299</f>
        <v>0</v>
      </c>
      <c r="I299" s="551">
        <f>+'Yr 3 Operating Statement of Act'!G299</f>
        <v>0</v>
      </c>
      <c r="J299" s="551">
        <f>+'Yr 4 Operating Statement of Act'!G299</f>
        <v>0</v>
      </c>
      <c r="K299" s="552"/>
      <c r="L299" s="268"/>
    </row>
    <row r="300" spans="1:13" x14ac:dyDescent="0.2">
      <c r="A300" s="225">
        <v>229</v>
      </c>
      <c r="B300" s="37"/>
      <c r="C300" s="10"/>
      <c r="D300" s="10" t="s">
        <v>100</v>
      </c>
      <c r="E300" s="19" t="s">
        <v>101</v>
      </c>
      <c r="F300" s="20" t="s">
        <v>247</v>
      </c>
      <c r="G300" s="527">
        <f>+'Yr 1 Operating Statement of Act'!G300</f>
        <v>0</v>
      </c>
      <c r="H300" s="551">
        <f>+'Yr 2 Operating Statement of Act'!G300</f>
        <v>0</v>
      </c>
      <c r="I300" s="551">
        <f>+'Yr 3 Operating Statement of Act'!G300</f>
        <v>0</v>
      </c>
      <c r="J300" s="551">
        <f>+'Yr 4 Operating Statement of Act'!G300</f>
        <v>0</v>
      </c>
      <c r="K300" s="552"/>
      <c r="L300" s="268"/>
    </row>
    <row r="301" spans="1:13" x14ac:dyDescent="0.2">
      <c r="A301" s="225">
        <v>230</v>
      </c>
      <c r="B301" s="37"/>
      <c r="C301" s="10"/>
      <c r="D301" s="10" t="s">
        <v>219</v>
      </c>
      <c r="E301" s="19" t="s">
        <v>220</v>
      </c>
      <c r="F301" s="20" t="s">
        <v>247</v>
      </c>
      <c r="G301" s="527">
        <f>+'Yr 1 Operating Statement of Act'!G301</f>
        <v>0</v>
      </c>
      <c r="H301" s="551">
        <f>+'Yr 2 Operating Statement of Act'!G301</f>
        <v>0</v>
      </c>
      <c r="I301" s="551">
        <f>+'Yr 3 Operating Statement of Act'!G301</f>
        <v>0</v>
      </c>
      <c r="J301" s="551">
        <f>+'Yr 4 Operating Statement of Act'!G301</f>
        <v>0</v>
      </c>
      <c r="K301" s="552"/>
      <c r="L301" s="268"/>
    </row>
    <row r="302" spans="1:13" x14ac:dyDescent="0.2">
      <c r="A302" s="225">
        <v>231</v>
      </c>
      <c r="B302" s="37"/>
      <c r="C302" s="10"/>
      <c r="D302" s="10" t="s">
        <v>102</v>
      </c>
      <c r="E302" s="19" t="s">
        <v>103</v>
      </c>
      <c r="F302" s="20" t="s">
        <v>247</v>
      </c>
      <c r="G302" s="527">
        <f>+'Yr 1 Operating Statement of Act'!G302</f>
        <v>0</v>
      </c>
      <c r="H302" s="551">
        <f>+'Yr 2 Operating Statement of Act'!G302</f>
        <v>0</v>
      </c>
      <c r="I302" s="551">
        <f>+'Yr 3 Operating Statement of Act'!G302</f>
        <v>0</v>
      </c>
      <c r="J302" s="551">
        <f>+'Yr 4 Operating Statement of Act'!G302</f>
        <v>0</v>
      </c>
      <c r="K302" s="552"/>
      <c r="L302" s="268"/>
    </row>
    <row r="303" spans="1:13" x14ac:dyDescent="0.2">
      <c r="A303" s="225">
        <v>232</v>
      </c>
      <c r="B303" s="37"/>
      <c r="C303" s="10"/>
      <c r="D303" s="10" t="s">
        <v>104</v>
      </c>
      <c r="E303" s="19" t="s">
        <v>105</v>
      </c>
      <c r="F303" s="20" t="s">
        <v>247</v>
      </c>
      <c r="G303" s="527">
        <f>+'Yr 1 Operating Statement of Act'!G303</f>
        <v>0</v>
      </c>
      <c r="H303" s="551">
        <f>+'Yr 2 Operating Statement of Act'!G303</f>
        <v>0</v>
      </c>
      <c r="I303" s="551">
        <f>+'Yr 3 Operating Statement of Act'!G303</f>
        <v>0</v>
      </c>
      <c r="J303" s="551">
        <f>+'Yr 4 Operating Statement of Act'!G303</f>
        <v>0</v>
      </c>
      <c r="K303" s="552"/>
      <c r="L303" s="268"/>
    </row>
    <row r="304" spans="1:13" x14ac:dyDescent="0.2">
      <c r="A304" s="225">
        <v>233</v>
      </c>
      <c r="B304" s="37"/>
      <c r="C304" s="86" t="s">
        <v>283</v>
      </c>
      <c r="D304" s="10"/>
      <c r="E304" s="19"/>
      <c r="F304" s="20"/>
      <c r="G304" s="553"/>
      <c r="H304" s="551"/>
      <c r="I304" s="551"/>
      <c r="J304" s="551"/>
      <c r="K304" s="552"/>
      <c r="L304" s="268"/>
    </row>
    <row r="305" spans="1:13" x14ac:dyDescent="0.2">
      <c r="A305" s="225">
        <v>234</v>
      </c>
      <c r="B305" s="37"/>
      <c r="C305" s="86"/>
      <c r="D305" s="10"/>
      <c r="E305" s="19"/>
      <c r="F305" s="20"/>
      <c r="G305" s="553"/>
      <c r="H305" s="551"/>
      <c r="I305" s="551"/>
      <c r="J305" s="551"/>
      <c r="K305" s="552"/>
      <c r="L305" s="268"/>
    </row>
    <row r="306" spans="1:13" x14ac:dyDescent="0.2">
      <c r="A306" s="225">
        <v>235</v>
      </c>
      <c r="B306" s="84"/>
      <c r="D306" s="14"/>
      <c r="E306" s="15"/>
      <c r="F306" s="16"/>
      <c r="G306" s="545"/>
      <c r="H306" s="546"/>
      <c r="I306" s="546"/>
      <c r="J306" s="546"/>
      <c r="K306" s="547"/>
      <c r="L306" s="283"/>
    </row>
    <row r="307" spans="1:13" ht="15" x14ac:dyDescent="0.25">
      <c r="A307" s="226">
        <v>236</v>
      </c>
      <c r="B307" s="88" t="s">
        <v>181</v>
      </c>
      <c r="C307" s="52"/>
      <c r="D307" s="52"/>
      <c r="E307" s="50"/>
      <c r="F307" s="51"/>
      <c r="G307" s="554">
        <f>SUM(G288:G306)</f>
        <v>184090.90909090912</v>
      </c>
      <c r="H307" s="555">
        <f>SUM(H288:H306)</f>
        <v>375545.45454545459</v>
      </c>
      <c r="I307" s="555">
        <f>SUM(I288:I306)</f>
        <v>510741.81818181823</v>
      </c>
      <c r="J307" s="555">
        <f>SUM(J288:J306)</f>
        <v>716315.4</v>
      </c>
      <c r="K307" s="556">
        <f>SUM(K288:K306)</f>
        <v>730641.70799999998</v>
      </c>
      <c r="L307" s="271"/>
    </row>
    <row r="308" spans="1:13" x14ac:dyDescent="0.2">
      <c r="A308" s="225"/>
      <c r="B308" s="36"/>
      <c r="C308" s="13"/>
      <c r="D308" s="13"/>
      <c r="E308" s="72"/>
      <c r="F308" s="73"/>
      <c r="G308" s="568"/>
      <c r="H308" s="569"/>
      <c r="I308" s="569"/>
      <c r="J308" s="569"/>
      <c r="K308" s="570"/>
      <c r="L308" s="266"/>
    </row>
    <row r="309" spans="1:13" s="5" customFormat="1" ht="15" x14ac:dyDescent="0.25">
      <c r="A309" s="225"/>
      <c r="B309" s="89" t="s">
        <v>30</v>
      </c>
      <c r="C309" s="54"/>
      <c r="D309" s="54"/>
      <c r="E309" s="78"/>
      <c r="F309" s="79"/>
      <c r="G309" s="391"/>
      <c r="H309" s="392"/>
      <c r="I309" s="392"/>
      <c r="J309" s="392"/>
      <c r="K309" s="393"/>
      <c r="L309" s="286"/>
    </row>
    <row r="310" spans="1:13" ht="15" x14ac:dyDescent="0.25">
      <c r="A310" s="225"/>
      <c r="B310" s="37"/>
      <c r="C310" s="107" t="s">
        <v>9</v>
      </c>
      <c r="D310" s="10"/>
      <c r="E310" s="78"/>
      <c r="F310" s="79"/>
      <c r="G310" s="548"/>
      <c r="H310" s="549"/>
      <c r="I310" s="549"/>
      <c r="J310" s="549"/>
      <c r="K310" s="550"/>
      <c r="L310" s="286"/>
    </row>
    <row r="311" spans="1:13" x14ac:dyDescent="0.2">
      <c r="A311" s="225">
        <v>237</v>
      </c>
      <c r="B311" s="37"/>
      <c r="C311" s="10"/>
      <c r="D311" s="10" t="s">
        <v>83</v>
      </c>
      <c r="E311" s="19" t="s">
        <v>84</v>
      </c>
      <c r="F311" s="20" t="s">
        <v>226</v>
      </c>
      <c r="G311" s="527">
        <f>+'Yr 1 Operating Statement of Act'!G311</f>
        <v>13500</v>
      </c>
      <c r="H311" s="527">
        <f>+'Yr 2 Operating Statement of Act'!G311</f>
        <v>13770</v>
      </c>
      <c r="I311" s="527">
        <f>+'Yr 3 Operating Statement of Act'!G311</f>
        <v>14045.4</v>
      </c>
      <c r="J311" s="527">
        <f>+'Yr 4 Operating Statement of Act'!G311</f>
        <v>14326.307999999999</v>
      </c>
      <c r="K311" s="530">
        <f>+J311*(1+$M311)</f>
        <v>14612.834159999999</v>
      </c>
      <c r="L311" s="268"/>
      <c r="M311" s="354">
        <f>+$M$82</f>
        <v>0.02</v>
      </c>
    </row>
    <row r="312" spans="1:13" x14ac:dyDescent="0.2">
      <c r="A312" s="225">
        <v>238</v>
      </c>
      <c r="B312" s="37"/>
      <c r="C312" s="10"/>
      <c r="D312" s="10" t="s">
        <v>184</v>
      </c>
      <c r="E312" s="19" t="s">
        <v>185</v>
      </c>
      <c r="F312" s="20">
        <v>2830</v>
      </c>
      <c r="G312" s="527">
        <f>+'Yr 1 Operating Statement of Act'!G312</f>
        <v>450.00000000000006</v>
      </c>
      <c r="H312" s="527">
        <f>+'Yr 2 Operating Statement of Act'!G312</f>
        <v>918.00000000000023</v>
      </c>
      <c r="I312" s="527">
        <f>+'Yr 3 Operating Statement of Act'!G312</f>
        <v>1404.5400000000004</v>
      </c>
      <c r="J312" s="527">
        <f>+'Yr 4 Operating Statement of Act'!G312</f>
        <v>1910.1744000000003</v>
      </c>
      <c r="K312" s="530">
        <f>+J312*(1+$M312)</f>
        <v>1948.3778880000004</v>
      </c>
      <c r="L312" s="268"/>
      <c r="M312" s="354">
        <f>+$M$82</f>
        <v>0.02</v>
      </c>
    </row>
    <row r="313" spans="1:13" x14ac:dyDescent="0.2">
      <c r="A313" s="225">
        <v>239</v>
      </c>
      <c r="B313" s="37"/>
      <c r="C313" s="10"/>
      <c r="D313" s="10" t="s">
        <v>131</v>
      </c>
      <c r="E313" s="19" t="s">
        <v>132</v>
      </c>
      <c r="F313" s="20" t="s">
        <v>183</v>
      </c>
      <c r="G313" s="527">
        <f>+'Yr 1 Operating Statement of Act'!G313</f>
        <v>0</v>
      </c>
      <c r="H313" s="551">
        <f>+'Yr 2 Operating Statement of Act'!G313</f>
        <v>0</v>
      </c>
      <c r="I313" s="551">
        <f>+'Yr 3 Operating Statement of Act'!G313</f>
        <v>0</v>
      </c>
      <c r="J313" s="551">
        <f>+'Yr 4 Operating Statement of Act'!G313</f>
        <v>0</v>
      </c>
      <c r="K313" s="552"/>
      <c r="L313" s="268"/>
    </row>
    <row r="314" spans="1:13" x14ac:dyDescent="0.2">
      <c r="A314" s="225">
        <v>240</v>
      </c>
      <c r="B314" s="37"/>
      <c r="C314" s="10" t="s">
        <v>186</v>
      </c>
      <c r="D314" s="10"/>
      <c r="E314" s="105" t="s">
        <v>221</v>
      </c>
      <c r="F314" s="106" t="s">
        <v>226</v>
      </c>
      <c r="G314" s="527">
        <f>+'Yr 1 Operating Statement of Act'!G314</f>
        <v>0</v>
      </c>
      <c r="H314" s="571">
        <f>+'Yr 2 Operating Statement of Act'!G314</f>
        <v>0</v>
      </c>
      <c r="I314" s="571">
        <f>+'Yr 3 Operating Statement of Act'!G314</f>
        <v>0</v>
      </c>
      <c r="J314" s="571">
        <f>+'Yr 4 Operating Statement of Act'!G314</f>
        <v>0</v>
      </c>
      <c r="K314" s="572"/>
      <c r="L314" s="290"/>
    </row>
    <row r="315" spans="1:13" x14ac:dyDescent="0.2">
      <c r="A315" s="225">
        <v>241</v>
      </c>
      <c r="B315" s="37"/>
      <c r="C315" s="10" t="s">
        <v>295</v>
      </c>
      <c r="D315" s="10"/>
      <c r="E315" s="19" t="s">
        <v>97</v>
      </c>
      <c r="F315" s="20" t="s">
        <v>226</v>
      </c>
      <c r="G315" s="527">
        <f>+'Yr 1 Operating Statement of Act'!G315</f>
        <v>0</v>
      </c>
      <c r="H315" s="551">
        <f>+'Yr 2 Operating Statement of Act'!G315</f>
        <v>0</v>
      </c>
      <c r="I315" s="551">
        <f>+'Yr 3 Operating Statement of Act'!G315</f>
        <v>0</v>
      </c>
      <c r="J315" s="551">
        <f>+'Yr 4 Operating Statement of Act'!G315</f>
        <v>0</v>
      </c>
      <c r="K315" s="552"/>
      <c r="L315" s="268"/>
    </row>
    <row r="316" spans="1:13" x14ac:dyDescent="0.2">
      <c r="A316" s="225">
        <v>242</v>
      </c>
      <c r="B316" s="37"/>
      <c r="C316" s="10" t="s">
        <v>98</v>
      </c>
      <c r="D316" s="10"/>
      <c r="E316" s="19" t="s">
        <v>99</v>
      </c>
      <c r="F316" s="20" t="s">
        <v>226</v>
      </c>
      <c r="G316" s="527">
        <f>+'Yr 1 Operating Statement of Act'!G316</f>
        <v>0</v>
      </c>
      <c r="H316" s="551">
        <f>+'Yr 2 Operating Statement of Act'!G316</f>
        <v>0</v>
      </c>
      <c r="I316" s="551">
        <f>+'Yr 3 Operating Statement of Act'!G316</f>
        <v>0</v>
      </c>
      <c r="J316" s="551">
        <f>+'Yr 4 Operating Statement of Act'!G316</f>
        <v>0</v>
      </c>
      <c r="K316" s="552"/>
      <c r="L316" s="268"/>
    </row>
    <row r="317" spans="1:13" x14ac:dyDescent="0.2">
      <c r="A317" s="225">
        <v>243</v>
      </c>
      <c r="B317" s="37"/>
      <c r="C317" s="10" t="s">
        <v>100</v>
      </c>
      <c r="D317" s="10"/>
      <c r="E317" s="19" t="s">
        <v>101</v>
      </c>
      <c r="F317" s="20" t="s">
        <v>226</v>
      </c>
      <c r="G317" s="527">
        <f>+'Yr 1 Operating Statement of Act'!G317</f>
        <v>0</v>
      </c>
      <c r="H317" s="551">
        <f>+'Yr 2 Operating Statement of Act'!G317</f>
        <v>0</v>
      </c>
      <c r="I317" s="551">
        <f>+'Yr 3 Operating Statement of Act'!G317</f>
        <v>0</v>
      </c>
      <c r="J317" s="551">
        <f>+'Yr 4 Operating Statement of Act'!G317</f>
        <v>0</v>
      </c>
      <c r="K317" s="552"/>
      <c r="L317" s="268"/>
    </row>
    <row r="318" spans="1:13" x14ac:dyDescent="0.2">
      <c r="A318" s="225">
        <v>244</v>
      </c>
      <c r="B318" s="37"/>
      <c r="C318" s="10" t="s">
        <v>219</v>
      </c>
      <c r="D318" s="10"/>
      <c r="E318" s="19" t="s">
        <v>220</v>
      </c>
      <c r="F318" s="20" t="s">
        <v>226</v>
      </c>
      <c r="G318" s="527">
        <f>+'Yr 1 Operating Statement of Act'!G318</f>
        <v>0</v>
      </c>
      <c r="H318" s="551">
        <f>+'Yr 2 Operating Statement of Act'!G318</f>
        <v>0</v>
      </c>
      <c r="I318" s="551">
        <f>+'Yr 3 Operating Statement of Act'!G318</f>
        <v>0</v>
      </c>
      <c r="J318" s="551">
        <f>+'Yr 4 Operating Statement of Act'!G318</f>
        <v>0</v>
      </c>
      <c r="K318" s="552"/>
      <c r="L318" s="268"/>
    </row>
    <row r="319" spans="1:13" x14ac:dyDescent="0.2">
      <c r="A319" s="225">
        <v>245</v>
      </c>
      <c r="B319" s="37"/>
      <c r="C319" s="10" t="s">
        <v>102</v>
      </c>
      <c r="D319" s="10"/>
      <c r="E319" s="19" t="s">
        <v>103</v>
      </c>
      <c r="F319" s="20" t="s">
        <v>226</v>
      </c>
      <c r="G319" s="527">
        <f>+'Yr 1 Operating Statement of Act'!G319</f>
        <v>0</v>
      </c>
      <c r="H319" s="551">
        <f>+'Yr 2 Operating Statement of Act'!G319</f>
        <v>0</v>
      </c>
      <c r="I319" s="551">
        <f>+'Yr 3 Operating Statement of Act'!G319</f>
        <v>0</v>
      </c>
      <c r="J319" s="551">
        <f>+'Yr 4 Operating Statement of Act'!G319</f>
        <v>0</v>
      </c>
      <c r="K319" s="552"/>
      <c r="L319" s="268"/>
    </row>
    <row r="320" spans="1:13" x14ac:dyDescent="0.2">
      <c r="A320" s="225">
        <v>246</v>
      </c>
      <c r="B320" s="37"/>
      <c r="C320" s="10" t="s">
        <v>104</v>
      </c>
      <c r="D320" s="10"/>
      <c r="E320" s="19" t="s">
        <v>105</v>
      </c>
      <c r="F320" s="20" t="s">
        <v>226</v>
      </c>
      <c r="G320" s="527">
        <f>+'Yr 1 Operating Statement of Act'!G320</f>
        <v>0</v>
      </c>
      <c r="H320" s="551">
        <f>+'Yr 2 Operating Statement of Act'!G320</f>
        <v>0</v>
      </c>
      <c r="I320" s="551">
        <f>+'Yr 3 Operating Statement of Act'!G320</f>
        <v>0</v>
      </c>
      <c r="J320" s="551">
        <f>+'Yr 4 Operating Statement of Act'!G320</f>
        <v>0</v>
      </c>
      <c r="K320" s="552"/>
      <c r="L320" s="268"/>
    </row>
    <row r="321" spans="1:13" x14ac:dyDescent="0.2">
      <c r="A321" s="225">
        <v>247</v>
      </c>
      <c r="B321" s="37"/>
      <c r="C321" s="86"/>
      <c r="D321" s="10"/>
      <c r="E321" s="19"/>
      <c r="F321" s="20"/>
      <c r="G321" s="553"/>
      <c r="H321" s="551"/>
      <c r="I321" s="551"/>
      <c r="J321" s="551"/>
      <c r="K321" s="552"/>
      <c r="L321" s="268"/>
    </row>
    <row r="322" spans="1:13" x14ac:dyDescent="0.2">
      <c r="A322" s="225">
        <v>248</v>
      </c>
      <c r="B322" s="84"/>
      <c r="D322" s="14"/>
      <c r="E322" s="15"/>
      <c r="F322" s="16"/>
      <c r="G322" s="545"/>
      <c r="H322" s="546"/>
      <c r="I322" s="546"/>
      <c r="J322" s="546"/>
      <c r="K322" s="547"/>
      <c r="L322" s="283"/>
    </row>
    <row r="323" spans="1:13" ht="15" x14ac:dyDescent="0.25">
      <c r="A323" s="226">
        <v>249</v>
      </c>
      <c r="B323" s="88" t="s">
        <v>188</v>
      </c>
      <c r="C323" s="52"/>
      <c r="D323" s="52"/>
      <c r="E323" s="50"/>
      <c r="F323" s="51"/>
      <c r="G323" s="554">
        <f>SUM(G311:G322)</f>
        <v>13950</v>
      </c>
      <c r="H323" s="555">
        <f>SUM(H311:H322)</f>
        <v>14688</v>
      </c>
      <c r="I323" s="555">
        <f>SUM(I311:I322)</f>
        <v>15449.94</v>
      </c>
      <c r="J323" s="555">
        <f>SUM(J311:J322)</f>
        <v>16236.482399999999</v>
      </c>
      <c r="K323" s="556">
        <f>SUM(K311:K322)</f>
        <v>16561.212047999998</v>
      </c>
      <c r="L323" s="271"/>
    </row>
    <row r="324" spans="1:13" s="14" customFormat="1" ht="15" x14ac:dyDescent="0.25">
      <c r="A324" s="223"/>
      <c r="B324" s="82"/>
      <c r="C324" s="59"/>
      <c r="D324" s="59"/>
      <c r="E324" s="23"/>
      <c r="F324" s="24"/>
      <c r="G324" s="557"/>
      <c r="H324" s="558"/>
      <c r="I324" s="558"/>
      <c r="J324" s="558"/>
      <c r="K324" s="559"/>
      <c r="L324" s="269"/>
    </row>
    <row r="325" spans="1:13" s="14" customFormat="1" ht="15.75" thickBot="1" x14ac:dyDescent="0.3">
      <c r="A325" s="222"/>
      <c r="B325" s="35"/>
      <c r="C325" s="21"/>
      <c r="D325" s="21"/>
      <c r="E325" s="15"/>
      <c r="F325" s="16"/>
      <c r="G325" s="545"/>
      <c r="H325" s="546"/>
      <c r="I325" s="546"/>
      <c r="J325" s="546"/>
      <c r="K325" s="547"/>
      <c r="L325" s="283"/>
    </row>
    <row r="326" spans="1:13" ht="15.75" thickBot="1" x14ac:dyDescent="0.3">
      <c r="A326" s="231">
        <v>250</v>
      </c>
      <c r="B326" s="76" t="s">
        <v>230</v>
      </c>
      <c r="C326" s="77"/>
      <c r="D326" s="77"/>
      <c r="E326" s="46"/>
      <c r="F326" s="47"/>
      <c r="G326" s="560">
        <f>G171+G188+G203+G228+G253+G285+G307+G323</f>
        <v>1581573.9525785618</v>
      </c>
      <c r="H326" s="561">
        <f>H171+H188+H203+H228+H253+H285+H307+H323</f>
        <v>2474839.3605317371</v>
      </c>
      <c r="I326" s="561">
        <f>I171+I188+I203+I228+I253+I285+I307+I323</f>
        <v>3473947.9731261702</v>
      </c>
      <c r="J326" s="561">
        <f>J171+J188+J203+J228+J253+J285+J307+J323</f>
        <v>4275491.0592365256</v>
      </c>
      <c r="K326" s="542">
        <f>K171+K188+K203+K228+K253+K285+K307+K323</f>
        <v>4359549.4030558337</v>
      </c>
      <c r="L326" s="287"/>
    </row>
    <row r="327" spans="1:13" ht="15" thickBot="1" x14ac:dyDescent="0.25">
      <c r="A327" s="230"/>
      <c r="B327" s="36"/>
      <c r="C327" s="13"/>
      <c r="D327" s="13"/>
      <c r="E327" s="98"/>
      <c r="F327" s="99"/>
      <c r="G327" s="573"/>
      <c r="H327" s="574"/>
      <c r="I327" s="574"/>
      <c r="J327" s="574"/>
      <c r="K327" s="575"/>
      <c r="L327" s="291"/>
    </row>
    <row r="328" spans="1:13" ht="15.75" thickBot="1" x14ac:dyDescent="0.3">
      <c r="A328" s="231"/>
      <c r="B328" s="76" t="s">
        <v>189</v>
      </c>
      <c r="C328" s="77"/>
      <c r="D328" s="77"/>
      <c r="E328" s="122"/>
      <c r="F328" s="123"/>
      <c r="G328" s="576"/>
      <c r="H328" s="577"/>
      <c r="I328" s="577"/>
      <c r="J328" s="577"/>
      <c r="K328" s="578"/>
      <c r="L328" s="292"/>
    </row>
    <row r="329" spans="1:13" s="5" customFormat="1" ht="15" x14ac:dyDescent="0.25">
      <c r="A329" s="225"/>
      <c r="B329" s="89" t="s">
        <v>288</v>
      </c>
      <c r="C329" s="54"/>
      <c r="D329" s="54"/>
      <c r="E329" s="78"/>
      <c r="F329" s="79"/>
      <c r="G329" s="391"/>
      <c r="H329" s="392"/>
      <c r="I329" s="392"/>
      <c r="J329" s="392"/>
      <c r="K329" s="393"/>
      <c r="L329" s="286"/>
    </row>
    <row r="330" spans="1:13" x14ac:dyDescent="0.2">
      <c r="A330" s="225">
        <v>251</v>
      </c>
      <c r="B330" s="37"/>
      <c r="C330" s="10" t="s">
        <v>190</v>
      </c>
      <c r="D330" s="10"/>
      <c r="E330" s="19" t="s">
        <v>222</v>
      </c>
      <c r="F330" s="20">
        <v>3100</v>
      </c>
      <c r="G330" s="527">
        <f>+'Yr 1 Operating Statement of Act'!G330</f>
        <v>0</v>
      </c>
      <c r="H330" s="551">
        <f>+'Yr 2 Operating Statement of Act'!G330</f>
        <v>0</v>
      </c>
      <c r="I330" s="551">
        <f>+'Yr 3 Operating Statement of Act'!G330</f>
        <v>0</v>
      </c>
      <c r="J330" s="551">
        <f>+'Yr 4 Operating Statement of Act'!G330</f>
        <v>0</v>
      </c>
      <c r="K330" s="552"/>
      <c r="L330" s="268"/>
    </row>
    <row r="331" spans="1:13" x14ac:dyDescent="0.2">
      <c r="A331" s="225">
        <v>252</v>
      </c>
      <c r="B331" s="37"/>
      <c r="C331" s="10" t="s">
        <v>250</v>
      </c>
      <c r="D331" s="10"/>
      <c r="E331" s="19" t="s">
        <v>251</v>
      </c>
      <c r="F331" s="20" t="s">
        <v>191</v>
      </c>
      <c r="G331" s="527">
        <f>+'Yr 1 Operating Statement of Act'!G331</f>
        <v>0</v>
      </c>
      <c r="H331" s="551">
        <f>+'Yr 2 Operating Statement of Act'!G331</f>
        <v>0</v>
      </c>
      <c r="I331" s="551">
        <f>+'Yr 3 Operating Statement of Act'!G331</f>
        <v>0</v>
      </c>
      <c r="J331" s="551">
        <f>+'Yr 4 Operating Statement of Act'!G331</f>
        <v>0</v>
      </c>
      <c r="K331" s="552"/>
      <c r="L331" s="268"/>
    </row>
    <row r="332" spans="1:13" x14ac:dyDescent="0.2">
      <c r="A332" s="225">
        <v>253</v>
      </c>
      <c r="B332" s="37"/>
      <c r="C332" s="10" t="s">
        <v>192</v>
      </c>
      <c r="D332" s="10"/>
      <c r="E332" s="19" t="s">
        <v>193</v>
      </c>
      <c r="F332" s="20" t="s">
        <v>191</v>
      </c>
      <c r="G332" s="527">
        <f>+'Yr 1 Operating Statement of Act'!G332</f>
        <v>87100</v>
      </c>
      <c r="H332" s="527">
        <f>+'Yr 2 Operating Statement of Act'!G332</f>
        <v>174400</v>
      </c>
      <c r="I332" s="527">
        <f>+'Yr 3 Operating Statement of Act'!G332</f>
        <v>256500</v>
      </c>
      <c r="J332" s="527">
        <f>+'Yr 4 Operating Statement of Act'!G332</f>
        <v>336000</v>
      </c>
      <c r="K332" s="530">
        <f>+J332*(1+$M332)</f>
        <v>346080</v>
      </c>
      <c r="L332" s="268"/>
      <c r="M332" s="354">
        <f>+M47</f>
        <v>0.03</v>
      </c>
    </row>
    <row r="333" spans="1:13" x14ac:dyDescent="0.2">
      <c r="A333" s="225">
        <v>254</v>
      </c>
      <c r="B333" s="37"/>
      <c r="C333" s="10" t="s">
        <v>227</v>
      </c>
      <c r="D333" s="10"/>
      <c r="E333" s="19" t="s">
        <v>224</v>
      </c>
      <c r="F333" s="20" t="s">
        <v>191</v>
      </c>
      <c r="G333" s="527">
        <f>+'Yr 1 Operating Statement of Act'!G333</f>
        <v>0</v>
      </c>
      <c r="H333" s="551">
        <f>+'Yr 2 Operating Statement of Act'!G333</f>
        <v>0</v>
      </c>
      <c r="I333" s="551">
        <f>+'Yr 3 Operating Statement of Act'!G333</f>
        <v>0</v>
      </c>
      <c r="J333" s="551">
        <f>+'Yr 4 Operating Statement of Act'!G333</f>
        <v>0</v>
      </c>
      <c r="K333" s="552"/>
      <c r="L333" s="268"/>
    </row>
    <row r="334" spans="1:13" x14ac:dyDescent="0.2">
      <c r="A334" s="225">
        <v>255</v>
      </c>
      <c r="B334" s="37"/>
      <c r="C334" s="10" t="s">
        <v>110</v>
      </c>
      <c r="D334" s="10"/>
      <c r="E334" s="19" t="s">
        <v>90</v>
      </c>
      <c r="F334" s="20" t="s">
        <v>191</v>
      </c>
      <c r="G334" s="527">
        <f>+'Yr 1 Operating Statement of Act'!G334</f>
        <v>0</v>
      </c>
      <c r="H334" s="551">
        <f>+'Yr 2 Operating Statement of Act'!G334</f>
        <v>0</v>
      </c>
      <c r="I334" s="551">
        <f>+'Yr 3 Operating Statement of Act'!G334</f>
        <v>0</v>
      </c>
      <c r="J334" s="551">
        <f>+'Yr 4 Operating Statement of Act'!G334</f>
        <v>0</v>
      </c>
      <c r="K334" s="552"/>
      <c r="L334" s="268"/>
    </row>
    <row r="335" spans="1:13" x14ac:dyDescent="0.2">
      <c r="A335" s="225">
        <v>256</v>
      </c>
      <c r="B335" s="37"/>
      <c r="C335" s="10" t="s">
        <v>0</v>
      </c>
      <c r="D335" s="10"/>
      <c r="E335" s="19" t="s">
        <v>194</v>
      </c>
      <c r="F335" s="20" t="s">
        <v>191</v>
      </c>
      <c r="G335" s="527">
        <f>+'Yr 1 Operating Statement of Act'!G335</f>
        <v>0</v>
      </c>
      <c r="H335" s="551">
        <f>+'Yr 2 Operating Statement of Act'!G335</f>
        <v>0</v>
      </c>
      <c r="I335" s="551">
        <f>+'Yr 3 Operating Statement of Act'!G335</f>
        <v>0</v>
      </c>
      <c r="J335" s="551">
        <f>+'Yr 4 Operating Statement of Act'!G335</f>
        <v>0</v>
      </c>
      <c r="K335" s="552"/>
      <c r="L335" s="268"/>
    </row>
    <row r="336" spans="1:13" x14ac:dyDescent="0.2">
      <c r="A336" s="225">
        <v>257</v>
      </c>
      <c r="B336" s="37"/>
      <c r="C336" s="10" t="s">
        <v>187</v>
      </c>
      <c r="D336" s="10"/>
      <c r="E336" s="19" t="s">
        <v>149</v>
      </c>
      <c r="F336" s="20" t="s">
        <v>191</v>
      </c>
      <c r="G336" s="527">
        <f>+'Yr 1 Operating Statement of Act'!G336</f>
        <v>5300</v>
      </c>
      <c r="H336" s="527">
        <f>+'Yr 2 Operating Statement of Act'!G336</f>
        <v>5406</v>
      </c>
      <c r="I336" s="527">
        <f>+'Yr 3 Operating Statement of Act'!G336</f>
        <v>5514.12</v>
      </c>
      <c r="J336" s="527">
        <f>+'Yr 4 Operating Statement of Act'!G336</f>
        <v>5624.4023999999999</v>
      </c>
      <c r="K336" s="530">
        <f>+J336*(1+$M336)</f>
        <v>5736.8904480000001</v>
      </c>
      <c r="L336" s="268"/>
      <c r="M336" s="354">
        <f>+$M$82</f>
        <v>0.02</v>
      </c>
    </row>
    <row r="337" spans="1:12" x14ac:dyDescent="0.2">
      <c r="A337" s="225">
        <v>258</v>
      </c>
      <c r="B337" s="37"/>
      <c r="C337" s="10" t="s">
        <v>228</v>
      </c>
      <c r="D337" s="10"/>
      <c r="E337" s="19" t="s">
        <v>229</v>
      </c>
      <c r="F337" s="20">
        <v>3100</v>
      </c>
      <c r="G337" s="527">
        <f>+'Yr 1 Operating Statement of Act'!G337</f>
        <v>0</v>
      </c>
      <c r="H337" s="551">
        <f>+'Yr 2 Operating Statement of Act'!G337</f>
        <v>0</v>
      </c>
      <c r="I337" s="551">
        <f>+'Yr 3 Operating Statement of Act'!G337</f>
        <v>0</v>
      </c>
      <c r="J337" s="551">
        <f>+'Yr 4 Operating Statement of Act'!G337</f>
        <v>0</v>
      </c>
      <c r="K337" s="552"/>
      <c r="L337" s="268"/>
    </row>
    <row r="338" spans="1:12" x14ac:dyDescent="0.2">
      <c r="A338" s="225">
        <v>259</v>
      </c>
      <c r="B338" s="37"/>
      <c r="C338" s="10" t="s">
        <v>143</v>
      </c>
      <c r="D338" s="10"/>
      <c r="E338" s="19" t="s">
        <v>144</v>
      </c>
      <c r="F338" s="20" t="s">
        <v>191</v>
      </c>
      <c r="G338" s="527">
        <f>+'Yr 1 Operating Statement of Act'!G338</f>
        <v>0</v>
      </c>
      <c r="H338" s="551">
        <f>+'Yr 2 Operating Statement of Act'!G338</f>
        <v>0</v>
      </c>
      <c r="I338" s="551">
        <f>+'Yr 3 Operating Statement of Act'!G338</f>
        <v>0</v>
      </c>
      <c r="J338" s="551">
        <f>+'Yr 4 Operating Statement of Act'!G338</f>
        <v>0</v>
      </c>
      <c r="K338" s="552"/>
      <c r="L338" s="268"/>
    </row>
    <row r="339" spans="1:12" x14ac:dyDescent="0.2">
      <c r="A339" s="225">
        <v>260</v>
      </c>
      <c r="B339" s="37"/>
      <c r="C339" s="10" t="s">
        <v>93</v>
      </c>
      <c r="D339" s="10"/>
      <c r="E339" s="19" t="s">
        <v>94</v>
      </c>
      <c r="F339" s="20" t="s">
        <v>191</v>
      </c>
      <c r="G339" s="527">
        <f>+'Yr 1 Operating Statement of Act'!G339</f>
        <v>0</v>
      </c>
      <c r="H339" s="551">
        <f>+'Yr 2 Operating Statement of Act'!G339</f>
        <v>0</v>
      </c>
      <c r="I339" s="551">
        <f>+'Yr 3 Operating Statement of Act'!G339</f>
        <v>0</v>
      </c>
      <c r="J339" s="551">
        <f>+'Yr 4 Operating Statement of Act'!G339</f>
        <v>0</v>
      </c>
      <c r="K339" s="552"/>
      <c r="L339" s="268"/>
    </row>
    <row r="340" spans="1:12" x14ac:dyDescent="0.2">
      <c r="A340" s="225">
        <v>261</v>
      </c>
      <c r="B340" s="37"/>
      <c r="C340" s="10" t="s">
        <v>295</v>
      </c>
      <c r="D340" s="10"/>
      <c r="E340" s="19" t="s">
        <v>97</v>
      </c>
      <c r="F340" s="20" t="s">
        <v>12</v>
      </c>
      <c r="G340" s="527">
        <f>+'Yr 1 Operating Statement of Act'!G340</f>
        <v>0</v>
      </c>
      <c r="H340" s="551">
        <f>+'Yr 2 Operating Statement of Act'!G340</f>
        <v>0</v>
      </c>
      <c r="I340" s="551">
        <f>+'Yr 3 Operating Statement of Act'!G340</f>
        <v>0</v>
      </c>
      <c r="J340" s="551">
        <f>+'Yr 4 Operating Statement of Act'!G340</f>
        <v>0</v>
      </c>
      <c r="K340" s="552"/>
      <c r="L340" s="268"/>
    </row>
    <row r="341" spans="1:12" x14ac:dyDescent="0.2">
      <c r="A341" s="225">
        <v>262</v>
      </c>
      <c r="B341" s="37"/>
      <c r="C341" s="10" t="s">
        <v>98</v>
      </c>
      <c r="D341" s="10"/>
      <c r="E341" s="19" t="s">
        <v>99</v>
      </c>
      <c r="F341" s="20" t="s">
        <v>12</v>
      </c>
      <c r="G341" s="527">
        <f>+'Yr 1 Operating Statement of Act'!G341</f>
        <v>0</v>
      </c>
      <c r="H341" s="551">
        <f>+'Yr 2 Operating Statement of Act'!G341</f>
        <v>0</v>
      </c>
      <c r="I341" s="551">
        <f>+'Yr 3 Operating Statement of Act'!G341</f>
        <v>0</v>
      </c>
      <c r="J341" s="551">
        <f>+'Yr 4 Operating Statement of Act'!G341</f>
        <v>0</v>
      </c>
      <c r="K341" s="552"/>
      <c r="L341" s="268"/>
    </row>
    <row r="342" spans="1:12" x14ac:dyDescent="0.2">
      <c r="A342" s="225">
        <v>263</v>
      </c>
      <c r="B342" s="37"/>
      <c r="C342" s="10" t="s">
        <v>100</v>
      </c>
      <c r="D342" s="10"/>
      <c r="E342" s="19" t="s">
        <v>101</v>
      </c>
      <c r="F342" s="20" t="s">
        <v>12</v>
      </c>
      <c r="G342" s="527">
        <f>+'Yr 1 Operating Statement of Act'!G342</f>
        <v>0</v>
      </c>
      <c r="H342" s="551">
        <f>+'Yr 2 Operating Statement of Act'!G342</f>
        <v>0</v>
      </c>
      <c r="I342" s="551">
        <f>+'Yr 3 Operating Statement of Act'!G342</f>
        <v>0</v>
      </c>
      <c r="J342" s="551">
        <f>+'Yr 4 Operating Statement of Act'!G342</f>
        <v>0</v>
      </c>
      <c r="K342" s="552"/>
      <c r="L342" s="268"/>
    </row>
    <row r="343" spans="1:12" x14ac:dyDescent="0.2">
      <c r="A343" s="225">
        <v>264</v>
      </c>
      <c r="B343" s="37"/>
      <c r="C343" s="10" t="s">
        <v>219</v>
      </c>
      <c r="D343" s="10"/>
      <c r="E343" s="19" t="s">
        <v>220</v>
      </c>
      <c r="F343" s="20" t="s">
        <v>12</v>
      </c>
      <c r="G343" s="527">
        <f>+'Yr 1 Operating Statement of Act'!G343</f>
        <v>0</v>
      </c>
      <c r="H343" s="551">
        <f>+'Yr 2 Operating Statement of Act'!G343</f>
        <v>0</v>
      </c>
      <c r="I343" s="551">
        <f>+'Yr 3 Operating Statement of Act'!G343</f>
        <v>0</v>
      </c>
      <c r="J343" s="551">
        <f>+'Yr 4 Operating Statement of Act'!G343</f>
        <v>0</v>
      </c>
      <c r="K343" s="552"/>
      <c r="L343" s="268"/>
    </row>
    <row r="344" spans="1:12" x14ac:dyDescent="0.2">
      <c r="A344" s="225">
        <v>265</v>
      </c>
      <c r="B344" s="37"/>
      <c r="C344" s="10" t="s">
        <v>102</v>
      </c>
      <c r="D344" s="10"/>
      <c r="E344" s="19" t="s">
        <v>103</v>
      </c>
      <c r="F344" s="20" t="s">
        <v>12</v>
      </c>
      <c r="G344" s="527">
        <f>+'Yr 1 Operating Statement of Act'!G344</f>
        <v>0</v>
      </c>
      <c r="H344" s="551">
        <f>+'Yr 2 Operating Statement of Act'!G344</f>
        <v>0</v>
      </c>
      <c r="I344" s="551">
        <f>+'Yr 3 Operating Statement of Act'!G344</f>
        <v>0</v>
      </c>
      <c r="J344" s="551">
        <f>+'Yr 4 Operating Statement of Act'!G344</f>
        <v>0</v>
      </c>
      <c r="K344" s="552"/>
      <c r="L344" s="268"/>
    </row>
    <row r="345" spans="1:12" x14ac:dyDescent="0.2">
      <c r="A345" s="225">
        <v>266</v>
      </c>
      <c r="B345" s="37"/>
      <c r="C345" s="10" t="s">
        <v>104</v>
      </c>
      <c r="D345" s="10"/>
      <c r="E345" s="19" t="s">
        <v>105</v>
      </c>
      <c r="F345" s="20" t="s">
        <v>12</v>
      </c>
      <c r="G345" s="527">
        <f>+'Yr 1 Operating Statement of Act'!G345</f>
        <v>0</v>
      </c>
      <c r="H345" s="551">
        <f>+'Yr 2 Operating Statement of Act'!G345</f>
        <v>0</v>
      </c>
      <c r="I345" s="551">
        <f>+'Yr 3 Operating Statement of Act'!G345</f>
        <v>0</v>
      </c>
      <c r="J345" s="551">
        <f>+'Yr 4 Operating Statement of Act'!G345</f>
        <v>0</v>
      </c>
      <c r="K345" s="552"/>
      <c r="L345" s="268"/>
    </row>
    <row r="346" spans="1:12" x14ac:dyDescent="0.2">
      <c r="A346" s="225">
        <v>267</v>
      </c>
      <c r="B346" s="37"/>
      <c r="C346" s="86" t="s">
        <v>283</v>
      </c>
      <c r="D346" s="10"/>
      <c r="E346" s="19"/>
      <c r="F346" s="20"/>
      <c r="G346" s="553"/>
      <c r="H346" s="551"/>
      <c r="I346" s="551"/>
      <c r="J346" s="551"/>
      <c r="K346" s="552"/>
      <c r="L346" s="268"/>
    </row>
    <row r="347" spans="1:12" x14ac:dyDescent="0.2">
      <c r="A347" s="225">
        <v>268</v>
      </c>
      <c r="B347" s="37"/>
      <c r="C347" s="86"/>
      <c r="D347" s="10"/>
      <c r="E347" s="19"/>
      <c r="F347" s="20"/>
      <c r="G347" s="553"/>
      <c r="H347" s="551"/>
      <c r="I347" s="551"/>
      <c r="J347" s="551"/>
      <c r="K347" s="552"/>
      <c r="L347" s="268"/>
    </row>
    <row r="348" spans="1:12" x14ac:dyDescent="0.2">
      <c r="A348" s="225">
        <v>269</v>
      </c>
      <c r="B348" s="84"/>
      <c r="D348" s="14"/>
      <c r="E348" s="15"/>
      <c r="F348" s="16"/>
      <c r="G348" s="545"/>
      <c r="H348" s="546"/>
      <c r="I348" s="546"/>
      <c r="J348" s="546"/>
      <c r="K348" s="547"/>
      <c r="L348" s="283"/>
    </row>
    <row r="349" spans="1:12" ht="15" x14ac:dyDescent="0.25">
      <c r="A349" s="226">
        <v>270</v>
      </c>
      <c r="B349" s="88" t="s">
        <v>195</v>
      </c>
      <c r="C349" s="52"/>
      <c r="D349" s="52"/>
      <c r="E349" s="50"/>
      <c r="F349" s="51"/>
      <c r="G349" s="554">
        <f>SUM(G330:G348)</f>
        <v>92400</v>
      </c>
      <c r="H349" s="555">
        <f>SUM(H330:H348)</f>
        <v>179806</v>
      </c>
      <c r="I349" s="555">
        <f>SUM(I330:I348)</f>
        <v>262014.12</v>
      </c>
      <c r="J349" s="555">
        <f>SUM(J330:J348)</f>
        <v>341624.40240000002</v>
      </c>
      <c r="K349" s="556">
        <f>SUM(K330:K348)</f>
        <v>351816.89044799999</v>
      </c>
      <c r="L349" s="271"/>
    </row>
    <row r="350" spans="1:12" ht="6" customHeight="1" x14ac:dyDescent="0.2">
      <c r="A350" s="225"/>
      <c r="B350" s="37"/>
      <c r="C350" s="10"/>
      <c r="D350" s="10"/>
      <c r="E350" s="19"/>
      <c r="F350" s="20"/>
      <c r="G350" s="553"/>
      <c r="H350" s="551"/>
      <c r="I350" s="551"/>
      <c r="J350" s="551"/>
      <c r="K350" s="552"/>
      <c r="L350" s="268"/>
    </row>
    <row r="351" spans="1:12" ht="7.5" customHeight="1" x14ac:dyDescent="0.2">
      <c r="A351" s="225"/>
      <c r="B351" s="37"/>
      <c r="C351" s="10"/>
      <c r="D351" s="10"/>
      <c r="E351" s="19"/>
      <c r="F351" s="20"/>
      <c r="G351" s="553"/>
      <c r="H351" s="551"/>
      <c r="I351" s="551"/>
      <c r="J351" s="551"/>
      <c r="K351" s="552"/>
      <c r="L351" s="268"/>
    </row>
    <row r="352" spans="1:12" s="5" customFormat="1" ht="15" x14ac:dyDescent="0.25">
      <c r="A352" s="225" t="s">
        <v>33</v>
      </c>
      <c r="B352" s="89" t="s">
        <v>289</v>
      </c>
      <c r="C352" s="54"/>
      <c r="D352" s="54"/>
      <c r="E352" s="62"/>
      <c r="F352" s="63"/>
      <c r="G352" s="548"/>
      <c r="H352" s="549"/>
      <c r="I352" s="549"/>
      <c r="J352" s="549"/>
      <c r="K352" s="550"/>
      <c r="L352" s="267"/>
    </row>
    <row r="353" spans="1:12" x14ac:dyDescent="0.2">
      <c r="A353" s="225">
        <v>271</v>
      </c>
      <c r="B353" s="37"/>
      <c r="C353" s="10" t="s">
        <v>76</v>
      </c>
      <c r="D353" s="10"/>
      <c r="E353" s="19" t="s">
        <v>222</v>
      </c>
      <c r="F353" s="20" t="s">
        <v>13</v>
      </c>
      <c r="G353" s="527">
        <f>+'Yr 1 Operating Statement of Act'!G353</f>
        <v>0</v>
      </c>
      <c r="H353" s="551">
        <f>+'Yr 2 Operating Statement of Act'!G353</f>
        <v>0</v>
      </c>
      <c r="I353" s="551">
        <f>+'Yr 3 Operating Statement of Act'!G353</f>
        <v>0</v>
      </c>
      <c r="J353" s="551">
        <f>+'Yr 4 Operating Statement of Act'!G353</f>
        <v>0</v>
      </c>
      <c r="K353" s="552"/>
      <c r="L353" s="268"/>
    </row>
    <row r="354" spans="1:12" x14ac:dyDescent="0.2">
      <c r="A354" s="225">
        <v>272</v>
      </c>
      <c r="B354" s="37"/>
      <c r="C354" s="10" t="s">
        <v>110</v>
      </c>
      <c r="D354" s="10"/>
      <c r="E354" s="19" t="s">
        <v>90</v>
      </c>
      <c r="F354" s="20" t="s">
        <v>196</v>
      </c>
      <c r="G354" s="527">
        <f>+'Yr 1 Operating Statement of Act'!G354</f>
        <v>0</v>
      </c>
      <c r="H354" s="551">
        <f>+'Yr 2 Operating Statement of Act'!G354</f>
        <v>0</v>
      </c>
      <c r="I354" s="551">
        <f>+'Yr 3 Operating Statement of Act'!G354</f>
        <v>0</v>
      </c>
      <c r="J354" s="551">
        <f>+'Yr 4 Operating Statement of Act'!G354</f>
        <v>0</v>
      </c>
      <c r="K354" s="552"/>
      <c r="L354" s="268"/>
    </row>
    <row r="355" spans="1:12" x14ac:dyDescent="0.2">
      <c r="A355" s="225">
        <v>273</v>
      </c>
      <c r="B355" s="37"/>
      <c r="C355" s="10" t="s">
        <v>295</v>
      </c>
      <c r="D355" s="10"/>
      <c r="E355" s="19" t="s">
        <v>97</v>
      </c>
      <c r="F355" s="20" t="s">
        <v>13</v>
      </c>
      <c r="G355" s="527">
        <f>+'Yr 1 Operating Statement of Act'!G355</f>
        <v>0</v>
      </c>
      <c r="H355" s="551">
        <f>+'Yr 2 Operating Statement of Act'!G355</f>
        <v>0</v>
      </c>
      <c r="I355" s="551">
        <f>+'Yr 3 Operating Statement of Act'!G355</f>
        <v>0</v>
      </c>
      <c r="J355" s="551">
        <f>+'Yr 4 Operating Statement of Act'!G355</f>
        <v>0</v>
      </c>
      <c r="K355" s="552"/>
      <c r="L355" s="268"/>
    </row>
    <row r="356" spans="1:12" x14ac:dyDescent="0.2">
      <c r="A356" s="225">
        <v>274</v>
      </c>
      <c r="B356" s="37"/>
      <c r="C356" s="10" t="s">
        <v>98</v>
      </c>
      <c r="D356" s="10"/>
      <c r="E356" s="19" t="s">
        <v>99</v>
      </c>
      <c r="F356" s="20" t="s">
        <v>13</v>
      </c>
      <c r="G356" s="527">
        <f>+'Yr 1 Operating Statement of Act'!G356</f>
        <v>0</v>
      </c>
      <c r="H356" s="551">
        <f>+'Yr 2 Operating Statement of Act'!G356</f>
        <v>0</v>
      </c>
      <c r="I356" s="551">
        <f>+'Yr 3 Operating Statement of Act'!G356</f>
        <v>0</v>
      </c>
      <c r="J356" s="551">
        <f>+'Yr 4 Operating Statement of Act'!G356</f>
        <v>0</v>
      </c>
      <c r="K356" s="552"/>
      <c r="L356" s="268"/>
    </row>
    <row r="357" spans="1:12" x14ac:dyDescent="0.2">
      <c r="A357" s="225">
        <v>275</v>
      </c>
      <c r="B357" s="37"/>
      <c r="C357" s="10" t="s">
        <v>100</v>
      </c>
      <c r="D357" s="10"/>
      <c r="E357" s="19" t="s">
        <v>101</v>
      </c>
      <c r="F357" s="20" t="s">
        <v>13</v>
      </c>
      <c r="G357" s="527">
        <f>+'Yr 1 Operating Statement of Act'!G357</f>
        <v>0</v>
      </c>
      <c r="H357" s="551">
        <f>+'Yr 2 Operating Statement of Act'!G357</f>
        <v>0</v>
      </c>
      <c r="I357" s="551">
        <f>+'Yr 3 Operating Statement of Act'!G357</f>
        <v>0</v>
      </c>
      <c r="J357" s="551">
        <f>+'Yr 4 Operating Statement of Act'!G357</f>
        <v>0</v>
      </c>
      <c r="K357" s="552"/>
      <c r="L357" s="268"/>
    </row>
    <row r="358" spans="1:12" x14ac:dyDescent="0.2">
      <c r="A358" s="225">
        <v>276</v>
      </c>
      <c r="B358" s="37"/>
      <c r="C358" s="10" t="s">
        <v>219</v>
      </c>
      <c r="D358" s="10"/>
      <c r="E358" s="19" t="s">
        <v>220</v>
      </c>
      <c r="F358" s="20" t="s">
        <v>13</v>
      </c>
      <c r="G358" s="527">
        <f>+'Yr 1 Operating Statement of Act'!G358</f>
        <v>0</v>
      </c>
      <c r="H358" s="551">
        <f>+'Yr 2 Operating Statement of Act'!G358</f>
        <v>0</v>
      </c>
      <c r="I358" s="551">
        <f>+'Yr 3 Operating Statement of Act'!G358</f>
        <v>0</v>
      </c>
      <c r="J358" s="551">
        <f>+'Yr 4 Operating Statement of Act'!G358</f>
        <v>0</v>
      </c>
      <c r="K358" s="552"/>
      <c r="L358" s="268"/>
    </row>
    <row r="359" spans="1:12" x14ac:dyDescent="0.2">
      <c r="A359" s="225">
        <v>277</v>
      </c>
      <c r="B359" s="37"/>
      <c r="C359" s="10" t="s">
        <v>102</v>
      </c>
      <c r="D359" s="10"/>
      <c r="E359" s="19" t="s">
        <v>103</v>
      </c>
      <c r="F359" s="20" t="s">
        <v>13</v>
      </c>
      <c r="G359" s="527">
        <f>+'Yr 1 Operating Statement of Act'!G359</f>
        <v>0</v>
      </c>
      <c r="H359" s="551">
        <f>+'Yr 2 Operating Statement of Act'!G359</f>
        <v>0</v>
      </c>
      <c r="I359" s="551">
        <f>+'Yr 3 Operating Statement of Act'!G359</f>
        <v>0</v>
      </c>
      <c r="J359" s="551">
        <f>+'Yr 4 Operating Statement of Act'!G359</f>
        <v>0</v>
      </c>
      <c r="K359" s="552"/>
      <c r="L359" s="268"/>
    </row>
    <row r="360" spans="1:12" x14ac:dyDescent="0.2">
      <c r="A360" s="225">
        <v>278</v>
      </c>
      <c r="B360" s="37"/>
      <c r="C360" s="10" t="s">
        <v>104</v>
      </c>
      <c r="D360" s="10"/>
      <c r="E360" s="19" t="s">
        <v>105</v>
      </c>
      <c r="F360" s="20" t="s">
        <v>13</v>
      </c>
      <c r="G360" s="527">
        <f>+'Yr 1 Operating Statement of Act'!G360</f>
        <v>0</v>
      </c>
      <c r="H360" s="551">
        <f>+'Yr 2 Operating Statement of Act'!G360</f>
        <v>0</v>
      </c>
      <c r="I360" s="551">
        <f>+'Yr 3 Operating Statement of Act'!G360</f>
        <v>0</v>
      </c>
      <c r="J360" s="551">
        <f>+'Yr 4 Operating Statement of Act'!G360</f>
        <v>0</v>
      </c>
      <c r="K360" s="552"/>
      <c r="L360" s="268"/>
    </row>
    <row r="361" spans="1:12" x14ac:dyDescent="0.2">
      <c r="A361" s="225">
        <v>279</v>
      </c>
      <c r="B361" s="37"/>
      <c r="C361" s="86" t="s">
        <v>283</v>
      </c>
      <c r="D361" s="10"/>
      <c r="E361" s="19"/>
      <c r="F361" s="20"/>
      <c r="G361" s="553"/>
      <c r="H361" s="551"/>
      <c r="I361" s="551"/>
      <c r="J361" s="551"/>
      <c r="K361" s="552"/>
      <c r="L361" s="268"/>
    </row>
    <row r="362" spans="1:12" x14ac:dyDescent="0.2">
      <c r="A362" s="225">
        <v>280</v>
      </c>
      <c r="B362" s="37"/>
      <c r="C362" s="86"/>
      <c r="D362" s="10"/>
      <c r="E362" s="19"/>
      <c r="F362" s="20"/>
      <c r="G362" s="553"/>
      <c r="H362" s="551"/>
      <c r="I362" s="551"/>
      <c r="J362" s="551"/>
      <c r="K362" s="552"/>
      <c r="L362" s="268"/>
    </row>
    <row r="363" spans="1:12" x14ac:dyDescent="0.2">
      <c r="A363" s="225"/>
      <c r="B363" s="84"/>
      <c r="D363" s="14"/>
      <c r="E363" s="15"/>
      <c r="F363" s="16"/>
      <c r="G363" s="545"/>
      <c r="H363" s="546"/>
      <c r="I363" s="546"/>
      <c r="J363" s="546"/>
      <c r="K363" s="547"/>
      <c r="L363" s="283"/>
    </row>
    <row r="364" spans="1:12" ht="15" x14ac:dyDescent="0.25">
      <c r="A364" s="226">
        <v>281</v>
      </c>
      <c r="B364" s="88" t="s">
        <v>290</v>
      </c>
      <c r="C364" s="52"/>
      <c r="D364" s="52"/>
      <c r="E364" s="50"/>
      <c r="F364" s="51"/>
      <c r="G364" s="554">
        <f>SUM(G353:G363)</f>
        <v>0</v>
      </c>
      <c r="H364" s="555">
        <f>SUM(H353:H363)</f>
        <v>0</v>
      </c>
      <c r="I364" s="555">
        <f>SUM(I353:I363)</f>
        <v>0</v>
      </c>
      <c r="J364" s="555">
        <f>SUM(J353:J363)</f>
        <v>0</v>
      </c>
      <c r="K364" s="556">
        <f>SUM(K353:K363)</f>
        <v>0</v>
      </c>
      <c r="L364" s="271"/>
    </row>
    <row r="365" spans="1:12" ht="15.75" thickBot="1" x14ac:dyDescent="0.3">
      <c r="A365" s="225"/>
      <c r="B365" s="81"/>
      <c r="C365" s="11"/>
      <c r="D365" s="11"/>
      <c r="E365" s="19"/>
      <c r="F365" s="20"/>
      <c r="G365" s="553"/>
      <c r="H365" s="551"/>
      <c r="I365" s="551"/>
      <c r="J365" s="551"/>
      <c r="K365" s="552"/>
      <c r="L365" s="268"/>
    </row>
    <row r="366" spans="1:12" ht="15" x14ac:dyDescent="0.25">
      <c r="A366" s="232"/>
      <c r="B366" s="116" t="s">
        <v>231</v>
      </c>
      <c r="C366" s="124"/>
      <c r="D366" s="124"/>
      <c r="E366" s="136"/>
      <c r="F366" s="137"/>
      <c r="G366" s="579"/>
      <c r="H366" s="580"/>
      <c r="I366" s="580"/>
      <c r="J366" s="580"/>
      <c r="K366" s="581"/>
      <c r="L366" s="293"/>
    </row>
    <row r="367" spans="1:12" ht="15.75" thickBot="1" x14ac:dyDescent="0.3">
      <c r="A367" s="233">
        <v>282</v>
      </c>
      <c r="B367" s="132"/>
      <c r="C367" s="118"/>
      <c r="D367" s="118" t="s">
        <v>197</v>
      </c>
      <c r="E367" s="128"/>
      <c r="F367" s="129"/>
      <c r="G367" s="582">
        <f>G349+G364</f>
        <v>92400</v>
      </c>
      <c r="H367" s="583">
        <f>H349+H364</f>
        <v>179806</v>
      </c>
      <c r="I367" s="583">
        <f>I349+I364</f>
        <v>262014.12</v>
      </c>
      <c r="J367" s="583">
        <f>J349+J364</f>
        <v>341624.40240000002</v>
      </c>
      <c r="K367" s="584">
        <f>K349+K364</f>
        <v>351816.89044799999</v>
      </c>
      <c r="L367" s="294"/>
    </row>
    <row r="368" spans="1:12" s="5" customFormat="1" ht="15" x14ac:dyDescent="0.25">
      <c r="A368" s="230"/>
      <c r="B368" s="133" t="s">
        <v>18</v>
      </c>
      <c r="C368" s="57"/>
      <c r="D368" s="57"/>
      <c r="E368" s="72"/>
      <c r="F368" s="73"/>
      <c r="G368" s="568"/>
      <c r="H368" s="569"/>
      <c r="I368" s="569"/>
      <c r="J368" s="569"/>
      <c r="K368" s="570"/>
      <c r="L368" s="266"/>
    </row>
    <row r="369" spans="1:12" x14ac:dyDescent="0.2">
      <c r="A369" s="225">
        <v>283</v>
      </c>
      <c r="B369" s="37"/>
      <c r="C369" s="10" t="s">
        <v>199</v>
      </c>
      <c r="D369" s="10"/>
      <c r="E369" s="19" t="s">
        <v>200</v>
      </c>
      <c r="F369" s="20" t="s">
        <v>201</v>
      </c>
      <c r="G369" s="527">
        <f>+'Yr 1 Operating Statement of Act'!G369</f>
        <v>0</v>
      </c>
      <c r="H369" s="551">
        <f>+'Yr 2 Operating Statement of Act'!G369</f>
        <v>0</v>
      </c>
      <c r="I369" s="551">
        <f>+'Yr 3 Operating Statement of Act'!G369</f>
        <v>0</v>
      </c>
      <c r="J369" s="551">
        <f>+'Yr 4 Operating Statement of Act'!G369</f>
        <v>0</v>
      </c>
      <c r="K369" s="552"/>
      <c r="L369" s="268"/>
    </row>
    <row r="370" spans="1:12" x14ac:dyDescent="0.2">
      <c r="A370" s="225">
        <v>284</v>
      </c>
      <c r="B370" s="37"/>
      <c r="C370" s="10" t="s">
        <v>202</v>
      </c>
      <c r="D370" s="10"/>
      <c r="E370" s="19" t="s">
        <v>203</v>
      </c>
      <c r="F370" s="20" t="s">
        <v>198</v>
      </c>
      <c r="G370" s="527">
        <f>+'Yr 1 Operating Statement of Act'!G370</f>
        <v>0</v>
      </c>
      <c r="H370" s="551">
        <f>+'Yr 2 Operating Statement of Act'!G370</f>
        <v>0</v>
      </c>
      <c r="I370" s="551">
        <f>+'Yr 3 Operating Statement of Act'!G370</f>
        <v>0</v>
      </c>
      <c r="J370" s="551">
        <f>+'Yr 4 Operating Statement of Act'!G370</f>
        <v>0</v>
      </c>
      <c r="K370" s="552"/>
      <c r="L370" s="268"/>
    </row>
    <row r="371" spans="1:12" x14ac:dyDescent="0.2">
      <c r="A371" s="225">
        <v>285</v>
      </c>
      <c r="B371" s="37"/>
      <c r="C371" s="10" t="s">
        <v>204</v>
      </c>
      <c r="D371" s="10"/>
      <c r="E371" s="19" t="s">
        <v>203</v>
      </c>
      <c r="F371" s="20" t="s">
        <v>205</v>
      </c>
      <c r="G371" s="527">
        <f>+'Yr 1 Operating Statement of Act'!G371</f>
        <v>0</v>
      </c>
      <c r="H371" s="551">
        <f>+'Yr 2 Operating Statement of Act'!G371</f>
        <v>0</v>
      </c>
      <c r="I371" s="551">
        <f>+'Yr 3 Operating Statement of Act'!G371</f>
        <v>0</v>
      </c>
      <c r="J371" s="551">
        <f>+'Yr 4 Operating Statement of Act'!G371</f>
        <v>0</v>
      </c>
      <c r="K371" s="552"/>
      <c r="L371" s="268"/>
    </row>
    <row r="372" spans="1:12" x14ac:dyDescent="0.2">
      <c r="A372" s="225">
        <v>286</v>
      </c>
      <c r="B372" s="37"/>
      <c r="C372" s="10" t="s">
        <v>93</v>
      </c>
      <c r="D372" s="10"/>
      <c r="E372" s="19" t="s">
        <v>94</v>
      </c>
      <c r="F372" s="20" t="s">
        <v>198</v>
      </c>
      <c r="G372" s="527">
        <f>+'Yr 1 Operating Statement of Act'!G372</f>
        <v>0</v>
      </c>
      <c r="H372" s="551">
        <f>+'Yr 2 Operating Statement of Act'!G372</f>
        <v>0</v>
      </c>
      <c r="I372" s="551">
        <f>+'Yr 3 Operating Statement of Act'!G372</f>
        <v>0</v>
      </c>
      <c r="J372" s="551">
        <f>+'Yr 4 Operating Statement of Act'!G372</f>
        <v>0</v>
      </c>
      <c r="K372" s="552"/>
      <c r="L372" s="268"/>
    </row>
    <row r="373" spans="1:12" x14ac:dyDescent="0.2">
      <c r="A373" s="225">
        <v>287</v>
      </c>
      <c r="B373" s="37"/>
      <c r="C373" s="10" t="s">
        <v>85</v>
      </c>
      <c r="D373" s="10"/>
      <c r="E373" s="19" t="s">
        <v>86</v>
      </c>
      <c r="F373" s="20" t="s">
        <v>206</v>
      </c>
      <c r="G373" s="527">
        <f>+'Yr 1 Operating Statement of Act'!G373</f>
        <v>0</v>
      </c>
      <c r="H373" s="551">
        <f>+'Yr 2 Operating Statement of Act'!G373</f>
        <v>0</v>
      </c>
      <c r="I373" s="551">
        <f>+'Yr 3 Operating Statement of Act'!G373</f>
        <v>0</v>
      </c>
      <c r="J373" s="551">
        <f>+'Yr 4 Operating Statement of Act'!G373</f>
        <v>0</v>
      </c>
      <c r="K373" s="552"/>
      <c r="L373" s="268"/>
    </row>
    <row r="374" spans="1:12" x14ac:dyDescent="0.2">
      <c r="A374" s="225">
        <v>288</v>
      </c>
      <c r="B374" s="37"/>
      <c r="C374" s="86" t="s">
        <v>283</v>
      </c>
      <c r="D374" s="10"/>
      <c r="E374" s="19"/>
      <c r="F374" s="20"/>
      <c r="G374" s="553"/>
      <c r="H374" s="551"/>
      <c r="I374" s="551"/>
      <c r="J374" s="551"/>
      <c r="K374" s="552"/>
      <c r="L374" s="268"/>
    </row>
    <row r="375" spans="1:12" x14ac:dyDescent="0.2">
      <c r="A375" s="225">
        <v>289</v>
      </c>
      <c r="B375" s="37"/>
      <c r="C375" s="86"/>
      <c r="D375" s="10"/>
      <c r="E375" s="19"/>
      <c r="F375" s="20"/>
      <c r="G375" s="553"/>
      <c r="H375" s="551"/>
      <c r="I375" s="551"/>
      <c r="J375" s="551"/>
      <c r="K375" s="552"/>
      <c r="L375" s="268"/>
    </row>
    <row r="376" spans="1:12" ht="15" thickBot="1" x14ac:dyDescent="0.25">
      <c r="A376" s="225">
        <v>290</v>
      </c>
      <c r="B376" s="84"/>
      <c r="D376" s="14"/>
      <c r="E376" s="15"/>
      <c r="F376" s="16"/>
      <c r="G376" s="545"/>
      <c r="H376" s="546"/>
      <c r="I376" s="546"/>
      <c r="J376" s="546"/>
      <c r="K376" s="547"/>
      <c r="L376" s="283"/>
    </row>
    <row r="377" spans="1:12" ht="15" x14ac:dyDescent="0.25">
      <c r="A377" s="232"/>
      <c r="B377" s="116" t="s">
        <v>207</v>
      </c>
      <c r="C377" s="124"/>
      <c r="D377" s="124"/>
      <c r="E377" s="136"/>
      <c r="F377" s="137"/>
      <c r="G377" s="579"/>
      <c r="H377" s="580"/>
      <c r="I377" s="580"/>
      <c r="J377" s="580"/>
      <c r="K377" s="581"/>
      <c r="L377" s="293"/>
    </row>
    <row r="378" spans="1:12" ht="15.75" thickBot="1" x14ac:dyDescent="0.3">
      <c r="A378" s="233">
        <v>291</v>
      </c>
      <c r="B378" s="125"/>
      <c r="C378" s="126"/>
      <c r="D378" s="118" t="s">
        <v>2</v>
      </c>
      <c r="E378" s="128"/>
      <c r="F378" s="129"/>
      <c r="G378" s="582">
        <f>SUM(G369:G376)</f>
        <v>0</v>
      </c>
      <c r="H378" s="583">
        <f>SUM(H369:H376)</f>
        <v>0</v>
      </c>
      <c r="I378" s="583">
        <f>SUM(I369:I376)</f>
        <v>0</v>
      </c>
      <c r="J378" s="583">
        <f>SUM(J369:J376)</f>
        <v>0</v>
      </c>
      <c r="K378" s="584">
        <f>SUM(K369:K376)</f>
        <v>0</v>
      </c>
      <c r="L378" s="294"/>
    </row>
    <row r="379" spans="1:12" x14ac:dyDescent="0.2">
      <c r="A379" s="230"/>
      <c r="B379" s="36"/>
      <c r="C379" s="13"/>
      <c r="D379" s="13"/>
      <c r="E379" s="17"/>
      <c r="F379" s="18"/>
      <c r="G379" s="562"/>
      <c r="H379" s="563"/>
      <c r="I379" s="563"/>
      <c r="J379" s="563"/>
      <c r="K379" s="564"/>
      <c r="L379" s="288"/>
    </row>
    <row r="380" spans="1:12" s="5" customFormat="1" ht="15" x14ac:dyDescent="0.25">
      <c r="A380" s="225"/>
      <c r="B380" s="53" t="s">
        <v>286</v>
      </c>
      <c r="C380" s="54"/>
      <c r="D380" s="54"/>
      <c r="E380" s="62"/>
      <c r="F380" s="63"/>
      <c r="G380" s="548"/>
      <c r="H380" s="549"/>
      <c r="I380" s="549"/>
      <c r="J380" s="549"/>
      <c r="K380" s="550"/>
      <c r="L380" s="267"/>
    </row>
    <row r="381" spans="1:12" x14ac:dyDescent="0.2">
      <c r="A381" s="225">
        <v>292</v>
      </c>
      <c r="B381" s="37"/>
      <c r="C381" s="10" t="s">
        <v>31</v>
      </c>
      <c r="D381" s="10"/>
      <c r="E381" s="62"/>
      <c r="F381" s="63"/>
      <c r="G381" s="548"/>
      <c r="H381" s="549"/>
      <c r="I381" s="549"/>
      <c r="J381" s="549"/>
      <c r="K381" s="550"/>
      <c r="L381" s="267"/>
    </row>
    <row r="382" spans="1:12" x14ac:dyDescent="0.2">
      <c r="A382" s="225">
        <v>293</v>
      </c>
      <c r="B382" s="37"/>
      <c r="C382" s="10"/>
      <c r="D382" s="10" t="s">
        <v>209</v>
      </c>
      <c r="E382" s="19" t="s">
        <v>149</v>
      </c>
      <c r="F382" s="20" t="s">
        <v>208</v>
      </c>
      <c r="G382" s="527">
        <f>+'Yr 1 Operating Statement of Act'!G382</f>
        <v>0</v>
      </c>
      <c r="H382" s="551">
        <f>+'Yr 2 Operating Statement of Act'!G382</f>
        <v>0</v>
      </c>
      <c r="I382" s="551">
        <f>+'Yr 3 Operating Statement of Act'!G382</f>
        <v>0</v>
      </c>
      <c r="J382" s="551">
        <f>+'Yr 4 Operating Statement of Act'!G382</f>
        <v>0</v>
      </c>
      <c r="K382" s="552"/>
      <c r="L382" s="268"/>
    </row>
    <row r="383" spans="1:12" x14ac:dyDescent="0.2">
      <c r="A383" s="225">
        <v>294</v>
      </c>
      <c r="B383" s="37"/>
      <c r="C383" s="10"/>
      <c r="D383" s="10" t="s">
        <v>210</v>
      </c>
      <c r="E383" s="19" t="s">
        <v>152</v>
      </c>
      <c r="F383" s="20" t="s">
        <v>208</v>
      </c>
      <c r="G383" s="527">
        <f>+'Yr 1 Operating Statement of Act'!G383</f>
        <v>0</v>
      </c>
      <c r="H383" s="551">
        <f>+'Yr 2 Operating Statement of Act'!G383</f>
        <v>0</v>
      </c>
      <c r="I383" s="551">
        <f>+'Yr 3 Operating Statement of Act'!G383</f>
        <v>0</v>
      </c>
      <c r="J383" s="551">
        <f>+'Yr 4 Operating Statement of Act'!G383</f>
        <v>0</v>
      </c>
      <c r="K383" s="552"/>
      <c r="L383" s="268"/>
    </row>
    <row r="384" spans="1:12" x14ac:dyDescent="0.2">
      <c r="A384" s="225">
        <v>295</v>
      </c>
      <c r="B384" s="37"/>
      <c r="C384" s="10"/>
      <c r="D384" s="10" t="s">
        <v>211</v>
      </c>
      <c r="E384" s="19" t="s">
        <v>212</v>
      </c>
      <c r="F384" s="20" t="s">
        <v>208</v>
      </c>
      <c r="G384" s="527">
        <f>+'Yr 1 Operating Statement of Act'!G384</f>
        <v>0</v>
      </c>
      <c r="H384" s="551">
        <f>+'Yr 2 Operating Statement of Act'!G384</f>
        <v>0</v>
      </c>
      <c r="I384" s="551">
        <f>+'Yr 3 Operating Statement of Act'!G384</f>
        <v>0</v>
      </c>
      <c r="J384" s="551">
        <f>+'Yr 4 Operating Statement of Act'!G384</f>
        <v>0</v>
      </c>
      <c r="K384" s="552"/>
      <c r="L384" s="268"/>
    </row>
    <row r="385" spans="1:15" x14ac:dyDescent="0.2">
      <c r="A385" s="225">
        <v>296</v>
      </c>
      <c r="B385" s="37"/>
      <c r="C385" s="10"/>
      <c r="D385" s="10" t="s">
        <v>95</v>
      </c>
      <c r="E385" s="19" t="s">
        <v>96</v>
      </c>
      <c r="F385" s="20" t="s">
        <v>208</v>
      </c>
      <c r="G385" s="527">
        <f>+'Yr 1 Operating Statement of Act'!G385</f>
        <v>0</v>
      </c>
      <c r="H385" s="527">
        <f>+'Yr 2 Operating Statement of Act'!G385</f>
        <v>0</v>
      </c>
      <c r="I385" s="527">
        <f>+'Yr 3 Operating Statement of Act'!G385</f>
        <v>0</v>
      </c>
      <c r="J385" s="527">
        <f>+'Yr 4 Operating Statement of Act'!G385</f>
        <v>0</v>
      </c>
      <c r="K385" s="530"/>
      <c r="L385" s="268"/>
      <c r="M385" s="354"/>
      <c r="O385" s="354"/>
    </row>
    <row r="386" spans="1:15" x14ac:dyDescent="0.2">
      <c r="A386" s="225">
        <v>297</v>
      </c>
      <c r="B386" s="37"/>
      <c r="C386" s="86" t="s">
        <v>283</v>
      </c>
      <c r="D386" s="10"/>
      <c r="E386" s="19"/>
      <c r="F386" s="20"/>
      <c r="G386" s="553"/>
      <c r="H386" s="551"/>
      <c r="I386" s="551"/>
      <c r="J386" s="551"/>
      <c r="K386" s="552"/>
      <c r="L386" s="268"/>
    </row>
    <row r="387" spans="1:15" x14ac:dyDescent="0.2">
      <c r="A387" s="225">
        <v>298</v>
      </c>
      <c r="B387" s="37"/>
      <c r="C387" s="86"/>
      <c r="D387" s="10"/>
      <c r="E387" s="19"/>
      <c r="F387" s="20"/>
      <c r="G387" s="553"/>
      <c r="H387" s="551"/>
      <c r="I387" s="551"/>
      <c r="J387" s="551"/>
      <c r="K387" s="552"/>
      <c r="L387" s="268"/>
    </row>
    <row r="388" spans="1:15" ht="15" thickBot="1" x14ac:dyDescent="0.25">
      <c r="A388" s="222">
        <v>299</v>
      </c>
      <c r="B388" s="84"/>
      <c r="D388" s="14"/>
      <c r="E388" s="15"/>
      <c r="F388" s="16"/>
      <c r="G388" s="545"/>
      <c r="H388" s="546"/>
      <c r="I388" s="546"/>
      <c r="J388" s="546"/>
      <c r="K388" s="547"/>
      <c r="L388" s="283"/>
    </row>
    <row r="389" spans="1:15" ht="15.75" thickBot="1" x14ac:dyDescent="0.3">
      <c r="A389" s="229">
        <v>300</v>
      </c>
      <c r="B389" s="76" t="s">
        <v>287</v>
      </c>
      <c r="C389" s="77"/>
      <c r="D389" s="77"/>
      <c r="E389" s="46"/>
      <c r="F389" s="47"/>
      <c r="G389" s="560">
        <f>SUM(G382:G388)</f>
        <v>0</v>
      </c>
      <c r="H389" s="561">
        <f>SUM(H382:H388)</f>
        <v>0</v>
      </c>
      <c r="I389" s="561">
        <f>SUM(I382:I388)</f>
        <v>0</v>
      </c>
      <c r="J389" s="561">
        <f>SUM(J382:J388)</f>
        <v>0</v>
      </c>
      <c r="K389" s="542">
        <f>SUM(K382:K388)</f>
        <v>0</v>
      </c>
      <c r="L389" s="287"/>
    </row>
    <row r="390" spans="1:15" ht="15" thickBot="1" x14ac:dyDescent="0.25">
      <c r="A390" s="225"/>
      <c r="B390" s="37"/>
      <c r="C390" s="10"/>
      <c r="D390" s="10"/>
      <c r="E390" s="19"/>
      <c r="F390" s="20"/>
      <c r="G390" s="553"/>
      <c r="H390" s="544"/>
      <c r="I390" s="544"/>
      <c r="J390" s="544"/>
      <c r="K390" s="544"/>
      <c r="L390" s="268"/>
    </row>
    <row r="391" spans="1:15" ht="15.75" thickBot="1" x14ac:dyDescent="0.3">
      <c r="A391" s="231"/>
      <c r="B391" s="76" t="s">
        <v>213</v>
      </c>
      <c r="C391" s="77"/>
      <c r="D391" s="77"/>
      <c r="E391" s="46"/>
      <c r="F391" s="47"/>
      <c r="G391" s="560">
        <f>G154+G326+G367+G378+G389</f>
        <v>2710947.5769015346</v>
      </c>
      <c r="H391" s="561">
        <f>H154+H326+H367+H378+H389</f>
        <v>4392316.2458540983</v>
      </c>
      <c r="I391" s="561">
        <f>I154+I326+I367+I378+I389</f>
        <v>6373663.161411331</v>
      </c>
      <c r="J391" s="561">
        <f>J154+J326+J367+J378+J389</f>
        <v>8016416.8478981582</v>
      </c>
      <c r="K391" s="542">
        <f>K154+K326+K367+K378+K389</f>
        <v>8170338.3787819464</v>
      </c>
      <c r="L391" s="287"/>
    </row>
    <row r="392" spans="1:15" x14ac:dyDescent="0.2">
      <c r="A392" s="225"/>
      <c r="B392" s="37"/>
      <c r="C392" s="10"/>
      <c r="D392" s="10"/>
      <c r="E392" s="19"/>
      <c r="F392" s="20"/>
      <c r="G392" s="585"/>
      <c r="H392" s="544">
        <f>+H391/G391-1</f>
        <v>0.620214379384745</v>
      </c>
      <c r="I392" s="544">
        <f>+I391/H391-1</f>
        <v>0.45109386589078682</v>
      </c>
      <c r="J392" s="544">
        <f t="shared" ref="J392" si="1">+J391/I391-1</f>
        <v>0.25774090109322145</v>
      </c>
      <c r="K392" s="544">
        <f t="shared" ref="K392" si="2">+K391/J391-1</f>
        <v>1.9200789305778843E-2</v>
      </c>
      <c r="L392" s="268"/>
    </row>
    <row r="393" spans="1:15" s="5" customFormat="1" ht="15" x14ac:dyDescent="0.25">
      <c r="A393" s="225"/>
      <c r="B393" s="87" t="s">
        <v>291</v>
      </c>
      <c r="C393" s="12"/>
      <c r="D393" s="12"/>
      <c r="E393" s="78"/>
      <c r="F393" s="79"/>
      <c r="G393" s="147"/>
      <c r="H393" s="148"/>
      <c r="I393" s="148"/>
      <c r="J393" s="148"/>
      <c r="K393" s="149"/>
      <c r="L393" s="286"/>
    </row>
    <row r="394" spans="1:15" x14ac:dyDescent="0.2">
      <c r="A394" s="225">
        <v>301</v>
      </c>
      <c r="B394" s="37" t="s">
        <v>4</v>
      </c>
      <c r="C394" s="10"/>
      <c r="D394" s="10"/>
      <c r="E394" s="19" t="s">
        <v>221</v>
      </c>
      <c r="F394" s="20" t="s">
        <v>253</v>
      </c>
      <c r="G394" s="527">
        <f>+'Yr 1 Operating Statement of Act'!G394</f>
        <v>0</v>
      </c>
      <c r="H394" s="528">
        <f>+'Yr 2 Operating Statement of Act'!G394</f>
        <v>0</v>
      </c>
      <c r="I394" s="528">
        <f>+'Yr 3 Operating Statement of Act'!G394</f>
        <v>0</v>
      </c>
      <c r="J394" s="528">
        <f>+'Yr 4 Operating Statement of Act'!G394</f>
        <v>0</v>
      </c>
      <c r="K394" s="529"/>
      <c r="L394" s="268"/>
    </row>
    <row r="395" spans="1:15" ht="15" thickBot="1" x14ac:dyDescent="0.25">
      <c r="A395" s="225">
        <v>302</v>
      </c>
      <c r="B395" s="37"/>
      <c r="C395" s="10"/>
      <c r="D395" s="10"/>
      <c r="E395" s="19"/>
      <c r="F395" s="20"/>
      <c r="G395" s="585"/>
      <c r="H395" s="528"/>
      <c r="I395" s="528"/>
      <c r="J395" s="528"/>
      <c r="K395" s="529"/>
      <c r="L395" s="268"/>
    </row>
    <row r="396" spans="1:15" ht="15.75" thickBot="1" x14ac:dyDescent="0.3">
      <c r="A396" s="229">
        <v>303</v>
      </c>
      <c r="B396" s="76" t="s">
        <v>214</v>
      </c>
      <c r="C396" s="77"/>
      <c r="D396" s="77"/>
      <c r="E396" s="46"/>
      <c r="F396" s="47"/>
      <c r="G396" s="586">
        <f>SUM(G394:G395)</f>
        <v>0</v>
      </c>
      <c r="H396" s="587">
        <f>SUM(H394:H395)</f>
        <v>0</v>
      </c>
      <c r="I396" s="587">
        <f>SUM(I394:I395)</f>
        <v>0</v>
      </c>
      <c r="J396" s="587">
        <f>SUM(J394:J395)</f>
        <v>0</v>
      </c>
      <c r="K396" s="588">
        <f>SUM(K394:K395)</f>
        <v>0</v>
      </c>
      <c r="L396" s="287"/>
    </row>
    <row r="397" spans="1:15" ht="15" thickBot="1" x14ac:dyDescent="0.25">
      <c r="A397" s="58"/>
      <c r="B397" s="37"/>
      <c r="C397" s="10"/>
      <c r="D397" s="10"/>
      <c r="E397" s="19"/>
      <c r="F397" s="20"/>
      <c r="G397" s="585"/>
      <c r="H397" s="528"/>
      <c r="I397" s="528"/>
      <c r="J397" s="528"/>
      <c r="K397" s="529"/>
      <c r="L397" s="268"/>
    </row>
    <row r="398" spans="1:15" s="5" customFormat="1" ht="15.75" thickBot="1" x14ac:dyDescent="0.3">
      <c r="A398" s="76" t="s">
        <v>215</v>
      </c>
      <c r="B398" s="76"/>
      <c r="C398" s="77"/>
      <c r="D398" s="77"/>
      <c r="E398" s="120"/>
      <c r="F398" s="121"/>
      <c r="G398" s="151"/>
      <c r="H398" s="152"/>
      <c r="I398" s="152"/>
      <c r="J398" s="152"/>
      <c r="K398" s="153"/>
      <c r="L398" s="295"/>
    </row>
    <row r="399" spans="1:15" ht="15" x14ac:dyDescent="0.25">
      <c r="A399" s="115"/>
      <c r="B399" s="131"/>
      <c r="C399" s="130" t="s">
        <v>254</v>
      </c>
      <c r="D399" s="119"/>
      <c r="E399" s="136"/>
      <c r="F399" s="137"/>
      <c r="G399" s="589"/>
      <c r="H399" s="590"/>
      <c r="I399" s="590"/>
      <c r="J399" s="590"/>
      <c r="K399" s="591"/>
      <c r="L399" s="293"/>
    </row>
    <row r="400" spans="1:15" ht="15.75" thickBot="1" x14ac:dyDescent="0.3">
      <c r="A400" s="127">
        <v>304</v>
      </c>
      <c r="B400" s="132"/>
      <c r="C400" s="117" t="s">
        <v>3</v>
      </c>
      <c r="D400" s="118"/>
      <c r="E400" s="128"/>
      <c r="F400" s="129"/>
      <c r="G400" s="582">
        <f>+G70-G391-G396</f>
        <v>150848.92309846543</v>
      </c>
      <c r="H400" s="583">
        <f>+H70-H391-H396</f>
        <v>395714.08414590172</v>
      </c>
      <c r="I400" s="583">
        <f>+I70-I391-I396</f>
        <v>385523.62890116964</v>
      </c>
      <c r="J400" s="583">
        <f>+J70-J391-J396</f>
        <v>688474.2065633731</v>
      </c>
      <c r="K400" s="584">
        <f>+K70-K391-K396</f>
        <v>728712.73391996883</v>
      </c>
      <c r="L400" s="296"/>
    </row>
    <row r="401" spans="4:12" x14ac:dyDescent="0.2">
      <c r="D401" s="236" t="s">
        <v>350</v>
      </c>
      <c r="G401" s="475">
        <f>G400</f>
        <v>150848.92309846543</v>
      </c>
      <c r="H401" s="475">
        <f>H400</f>
        <v>395714.08414590172</v>
      </c>
      <c r="I401" s="475">
        <f>I400</f>
        <v>385523.62890116964</v>
      </c>
      <c r="J401" s="475">
        <f t="shared" ref="J401:K401" si="3">J400</f>
        <v>688474.2065633731</v>
      </c>
      <c r="K401" s="359">
        <f t="shared" si="3"/>
        <v>728712.73391996883</v>
      </c>
      <c r="L401" s="281"/>
    </row>
    <row r="402" spans="4:12" x14ac:dyDescent="0.2">
      <c r="G402" s="1"/>
      <c r="H402" s="1"/>
      <c r="I402" s="1"/>
      <c r="J402" s="1"/>
      <c r="K402" s="1"/>
      <c r="L402" s="281"/>
    </row>
    <row r="403" spans="4:12" x14ac:dyDescent="0.2">
      <c r="D403" s="236" t="s">
        <v>457</v>
      </c>
      <c r="G403" s="422">
        <f>+G400/G70</f>
        <v>5.2711268288456369E-2</v>
      </c>
      <c r="H403" s="422">
        <f>+H400/H70</f>
        <v>8.2646528295049815E-2</v>
      </c>
      <c r="I403" s="422">
        <f>+I400/I70</f>
        <v>5.7036984013182676E-2</v>
      </c>
      <c r="J403" s="422">
        <f>+J400/J70</f>
        <v>7.9090502368838758E-2</v>
      </c>
      <c r="K403" s="422">
        <f t="shared" ref="K403" si="4">+K400/K70</f>
        <v>8.1886565735065017E-2</v>
      </c>
      <c r="L403" s="281"/>
    </row>
    <row r="404" spans="4:12" x14ac:dyDescent="0.2">
      <c r="D404" s="236" t="s">
        <v>458</v>
      </c>
      <c r="G404" s="422">
        <f>+G401/G391</f>
        <v>5.5644352691938639E-2</v>
      </c>
      <c r="H404" s="422">
        <f>+H401/H391</f>
        <v>9.0092348090694913E-2</v>
      </c>
      <c r="I404" s="422">
        <f>+I401/I391</f>
        <v>6.0486978859391513E-2</v>
      </c>
      <c r="J404" s="422">
        <f>+J401/J391</f>
        <v>8.5883034730645985E-2</v>
      </c>
      <c r="K404" s="422">
        <f t="shared" ref="K404" si="5">+K401/K391</f>
        <v>8.9190031077832424E-2</v>
      </c>
      <c r="L404" s="281"/>
    </row>
    <row r="405" spans="4:12" x14ac:dyDescent="0.2">
      <c r="L405" s="281"/>
    </row>
    <row r="406" spans="4:12" x14ac:dyDescent="0.2">
      <c r="L406" s="281"/>
    </row>
    <row r="407" spans="4:12" x14ac:dyDescent="0.2">
      <c r="D407" s="485"/>
      <c r="G407" s="479"/>
      <c r="H407" s="479"/>
      <c r="I407" s="479"/>
      <c r="J407" s="479"/>
      <c r="K407" s="479"/>
      <c r="L407" s="281"/>
    </row>
    <row r="408" spans="4:12" x14ac:dyDescent="0.2">
      <c r="D408" s="480"/>
      <c r="E408" s="481"/>
      <c r="F408" s="481"/>
      <c r="G408" s="482"/>
      <c r="H408" s="482"/>
      <c r="I408" s="482"/>
      <c r="J408" s="482"/>
      <c r="K408" s="482"/>
      <c r="L408" s="281"/>
    </row>
    <row r="409" spans="4:12" x14ac:dyDescent="0.2">
      <c r="D409" s="483"/>
      <c r="E409" s="481"/>
      <c r="F409" s="481"/>
      <c r="G409" s="484"/>
      <c r="H409" s="484"/>
      <c r="I409" s="484"/>
      <c r="J409" s="484"/>
      <c r="K409" s="484"/>
    </row>
    <row r="410" spans="4:12" x14ac:dyDescent="0.2">
      <c r="D410" s="480"/>
      <c r="E410" s="481"/>
      <c r="F410" s="481"/>
      <c r="G410" s="484"/>
      <c r="H410" s="484"/>
      <c r="I410" s="484"/>
      <c r="J410" s="484"/>
      <c r="K410" s="484"/>
    </row>
    <row r="411" spans="4:12" x14ac:dyDescent="0.2">
      <c r="D411" s="480"/>
      <c r="E411" s="481"/>
      <c r="F411" s="481"/>
      <c r="G411" s="484"/>
      <c r="H411" s="484"/>
      <c r="I411" s="484"/>
      <c r="J411" s="484"/>
      <c r="K411" s="484"/>
    </row>
  </sheetData>
  <customSheetViews>
    <customSheetView guid="{FF09F429-7712-42C4-8E8D-F960CD33567E}" scale="80">
      <pane xSplit="5" ySplit="7" topLeftCell="F8" activePane="bottomRight" state="frozen"/>
      <selection pane="bottomRight" activeCell="H11" sqref="H11"/>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pageMargins left="0.27" right="0.16" top="0.17" bottom="0.26" header="0.28999999999999998" footer="0.17"/>
      <printOptions horizontalCentered="1"/>
      <pageSetup orientation="landscape" r:id="rId1"/>
      <headerFooter alignWithMargins="0"/>
    </customSheetView>
    <customSheetView guid="{40BC2F83-0811-4ECE-99F8-980F9280326A}" scale="80">
      <pane xSplit="5" ySplit="7" topLeftCell="F8" activePane="bottomRight" state="frozen"/>
      <selection pane="bottomRight" activeCell="F8" sqref="F8"/>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pageMargins left="0.27" right="0.16" top="0.17" bottom="0.26" header="0.28999999999999998" footer="0.17"/>
      <printOptions horizontalCentered="1"/>
      <pageSetup orientation="landscape" r:id="rId2"/>
      <headerFooter alignWithMargins="0"/>
    </customSheetView>
  </customSheetViews>
  <mergeCells count="14">
    <mergeCell ref="M6:M7"/>
    <mergeCell ref="A4:L4"/>
    <mergeCell ref="A38:L38"/>
    <mergeCell ref="N6:N7"/>
    <mergeCell ref="L6:L7"/>
    <mergeCell ref="G6:G7"/>
    <mergeCell ref="M5:N5"/>
    <mergeCell ref="I6:I7"/>
    <mergeCell ref="J6:J7"/>
    <mergeCell ref="H6:H7"/>
    <mergeCell ref="B6:D7"/>
    <mergeCell ref="F6:F7"/>
    <mergeCell ref="E6:E7"/>
    <mergeCell ref="K6:K7"/>
  </mergeCells>
  <phoneticPr fontId="0" type="noConversion"/>
  <printOptions horizontalCentered="1"/>
  <pageMargins left="0.27" right="0.16" top="0.17" bottom="0.26" header="0.28999999999999998" footer="0.17"/>
  <pageSetup orientation="landscape" r:id="rId3"/>
  <headerFooter alignWithMargins="0"/>
  <rowBreaks count="14" manualBreakCount="14">
    <brk id="40" max="16383" man="1"/>
    <brk id="73" max="16383" man="1"/>
    <brk id="100" max="16383" man="1"/>
    <brk id="127" max="16383" man="1"/>
    <brk id="154" max="16383" man="1"/>
    <brk id="188" max="16383" man="1"/>
    <brk id="203" max="16383" man="1"/>
    <brk id="228" max="16383" man="1"/>
    <brk id="253" max="16383" man="1"/>
    <brk id="285" max="16383" man="1"/>
    <brk id="307" max="16383" man="1"/>
    <brk id="326" max="16383" man="1"/>
    <brk id="349" max="16383" man="1"/>
    <brk id="37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Y696"/>
  <sheetViews>
    <sheetView zoomScale="80" zoomScaleNormal="100" workbookViewId="0">
      <pane xSplit="5" ySplit="5" topLeftCell="F6" activePane="bottomRight" state="frozen"/>
      <selection activeCell="J34" sqref="J34"/>
      <selection pane="topRight" activeCell="J34" sqref="J34"/>
      <selection pane="bottomLeft" activeCell="J34" sqref="J34"/>
      <selection pane="bottomRight" activeCell="F6" sqref="F6"/>
    </sheetView>
  </sheetViews>
  <sheetFormatPr defaultColWidth="9.140625" defaultRowHeight="14.25" x14ac:dyDescent="0.2"/>
  <cols>
    <col min="1" max="1" width="9.140625" style="3"/>
    <col min="2" max="2" width="4.140625" style="33" customWidth="1"/>
    <col min="3" max="3" width="5.42578125" style="14" customWidth="1"/>
    <col min="4" max="4" width="4.5703125" style="14" customWidth="1"/>
    <col min="5" max="5" width="48.7109375" style="3" customWidth="1"/>
    <col min="6" max="6" width="8" style="4" customWidth="1"/>
    <col min="7" max="7" width="10.5703125" style="4" customWidth="1"/>
    <col min="8" max="8" width="15.5703125" style="3" bestFit="1" customWidth="1"/>
    <col min="9" max="9" width="11.7109375" style="3" customWidth="1"/>
    <col min="10" max="10" width="12.42578125" style="3" customWidth="1"/>
    <col min="11" max="18" width="11.5703125" style="3" customWidth="1"/>
    <col min="19" max="19" width="12.28515625" style="3" customWidth="1"/>
    <col min="20" max="22" width="14.42578125" style="3" customWidth="1"/>
    <col min="23" max="32" width="11.5703125" style="3" customWidth="1"/>
    <col min="33" max="16384" width="9.140625" style="3"/>
  </cols>
  <sheetData>
    <row r="1" spans="1:22" ht="33.75" customHeight="1" x14ac:dyDescent="0.25">
      <c r="B1" s="334" t="s">
        <v>313</v>
      </c>
      <c r="C1" s="335"/>
      <c r="D1" s="335"/>
      <c r="E1" s="340" t="str">
        <f>'Startup Statement of Activities'!$D$1</f>
        <v>KIPP New Orleans</v>
      </c>
      <c r="F1" s="6" t="s">
        <v>33</v>
      </c>
      <c r="G1" s="6"/>
      <c r="H1" s="6"/>
      <c r="I1" s="6"/>
      <c r="J1" s="6"/>
      <c r="K1" s="6"/>
      <c r="L1" s="6"/>
    </row>
    <row r="2" spans="1:22" ht="18" customHeight="1" x14ac:dyDescent="0.25">
      <c r="B2" s="653" t="s">
        <v>359</v>
      </c>
      <c r="C2" s="653"/>
      <c r="D2" s="653"/>
      <c r="E2" s="653"/>
      <c r="F2" s="653"/>
      <c r="G2" s="653"/>
      <c r="H2" s="653"/>
      <c r="I2" s="653"/>
      <c r="J2" s="653"/>
      <c r="K2" s="653"/>
      <c r="L2" s="653"/>
      <c r="M2" s="653"/>
      <c r="N2" s="653"/>
      <c r="O2" s="653"/>
      <c r="P2" s="653"/>
      <c r="Q2" s="653"/>
      <c r="R2" s="653"/>
      <c r="S2" s="653"/>
      <c r="T2" s="653"/>
    </row>
    <row r="3" spans="1:22" ht="18.75" customHeight="1" thickBot="1" x14ac:dyDescent="0.3">
      <c r="B3" s="28"/>
      <c r="C3" s="22"/>
      <c r="D3" s="22"/>
      <c r="E3" s="6"/>
      <c r="F3" s="6"/>
      <c r="G3" s="6"/>
      <c r="H3" s="6"/>
      <c r="I3" s="6"/>
      <c r="J3" s="6"/>
      <c r="K3" s="6"/>
      <c r="L3" s="6"/>
      <c r="U3" s="673" t="s">
        <v>449</v>
      </c>
      <c r="V3" s="676"/>
    </row>
    <row r="4" spans="1:22" s="2" customFormat="1" ht="15.75" customHeight="1" thickTop="1" x14ac:dyDescent="0.25">
      <c r="B4" s="29"/>
      <c r="C4" s="641" t="s">
        <v>239</v>
      </c>
      <c r="D4" s="642"/>
      <c r="E4" s="642"/>
      <c r="F4" s="644" t="s">
        <v>232</v>
      </c>
      <c r="G4" s="646" t="s">
        <v>233</v>
      </c>
      <c r="H4" s="680" t="s">
        <v>300</v>
      </c>
      <c r="I4" s="678" t="s">
        <v>301</v>
      </c>
      <c r="J4" s="678" t="s">
        <v>302</v>
      </c>
      <c r="K4" s="678" t="s">
        <v>303</v>
      </c>
      <c r="L4" s="678" t="s">
        <v>304</v>
      </c>
      <c r="M4" s="678" t="s">
        <v>305</v>
      </c>
      <c r="N4" s="678" t="s">
        <v>306</v>
      </c>
      <c r="O4" s="678" t="s">
        <v>307</v>
      </c>
      <c r="P4" s="678" t="s">
        <v>308</v>
      </c>
      <c r="Q4" s="678" t="s">
        <v>309</v>
      </c>
      <c r="R4" s="678" t="s">
        <v>310</v>
      </c>
      <c r="S4" s="678" t="s">
        <v>311</v>
      </c>
      <c r="T4" s="678" t="s">
        <v>312</v>
      </c>
      <c r="U4" s="666" t="s">
        <v>450</v>
      </c>
      <c r="V4" s="666" t="s">
        <v>312</v>
      </c>
    </row>
    <row r="5" spans="1:22" s="41" customFormat="1" ht="15.75" thickBot="1" x14ac:dyDescent="0.3">
      <c r="B5" s="38"/>
      <c r="C5" s="655"/>
      <c r="D5" s="655"/>
      <c r="E5" s="655"/>
      <c r="F5" s="656"/>
      <c r="G5" s="674"/>
      <c r="H5" s="681"/>
      <c r="I5" s="679" t="s">
        <v>235</v>
      </c>
      <c r="J5" s="679" t="s">
        <v>236</v>
      </c>
      <c r="K5" s="679" t="s">
        <v>237</v>
      </c>
      <c r="L5" s="679" t="s">
        <v>238</v>
      </c>
      <c r="M5" s="679" t="s">
        <v>235</v>
      </c>
      <c r="N5" s="679" t="s">
        <v>236</v>
      </c>
      <c r="O5" s="679" t="s">
        <v>237</v>
      </c>
      <c r="P5" s="679" t="s">
        <v>238</v>
      </c>
      <c r="Q5" s="679" t="s">
        <v>235</v>
      </c>
      <c r="R5" s="679" t="s">
        <v>236</v>
      </c>
      <c r="S5" s="679" t="s">
        <v>237</v>
      </c>
      <c r="T5" s="679" t="s">
        <v>237</v>
      </c>
      <c r="U5" s="667"/>
      <c r="V5" s="667"/>
    </row>
    <row r="6" spans="1:22" s="40" customFormat="1" ht="20.25" customHeight="1" thickTop="1" x14ac:dyDescent="0.25">
      <c r="B6" s="39"/>
      <c r="C6" s="42" t="s">
        <v>267</v>
      </c>
      <c r="F6" s="70"/>
      <c r="G6" s="71"/>
      <c r="H6" s="155"/>
      <c r="I6" s="138"/>
      <c r="J6" s="138"/>
      <c r="K6" s="138"/>
      <c r="L6" s="138"/>
      <c r="M6" s="138"/>
      <c r="N6" s="138"/>
      <c r="O6" s="138"/>
      <c r="P6" s="138"/>
      <c r="Q6" s="138"/>
      <c r="R6" s="138"/>
      <c r="S6" s="156"/>
      <c r="T6" s="156"/>
      <c r="U6" s="156"/>
      <c r="V6" s="156"/>
    </row>
    <row r="7" spans="1:22" ht="3" customHeight="1" x14ac:dyDescent="0.2">
      <c r="B7" s="30"/>
      <c r="C7" s="36"/>
      <c r="D7" s="13"/>
      <c r="E7" s="13"/>
      <c r="F7" s="72"/>
      <c r="G7" s="73"/>
      <c r="H7" s="150"/>
      <c r="I7" s="139"/>
      <c r="J7" s="139"/>
      <c r="K7" s="139"/>
      <c r="L7" s="139"/>
      <c r="M7" s="139"/>
      <c r="N7" s="139"/>
      <c r="O7" s="139"/>
      <c r="P7" s="139"/>
      <c r="Q7" s="139"/>
      <c r="R7" s="139"/>
      <c r="S7" s="143"/>
      <c r="T7" s="143"/>
      <c r="U7" s="143"/>
      <c r="V7" s="143"/>
    </row>
    <row r="8" spans="1:22" x14ac:dyDescent="0.2">
      <c r="A8" s="3" t="s">
        <v>439</v>
      </c>
      <c r="B8" s="31"/>
      <c r="C8" s="26" t="s">
        <v>32</v>
      </c>
      <c r="D8" s="12"/>
      <c r="E8" s="12"/>
      <c r="F8" s="62"/>
      <c r="G8" s="63"/>
      <c r="H8" s="146"/>
      <c r="I8" s="140"/>
      <c r="J8" s="140"/>
      <c r="K8" s="140"/>
      <c r="L8" s="140"/>
      <c r="M8" s="140"/>
      <c r="N8" s="140"/>
      <c r="O8" s="140"/>
      <c r="P8" s="140"/>
      <c r="Q8" s="140"/>
      <c r="R8" s="140"/>
      <c r="S8" s="144"/>
      <c r="T8" s="144"/>
      <c r="U8" s="144"/>
      <c r="V8" s="144"/>
    </row>
    <row r="9" spans="1:22" x14ac:dyDescent="0.2">
      <c r="A9" s="3" t="s">
        <v>440</v>
      </c>
      <c r="B9" s="211">
        <v>1</v>
      </c>
      <c r="C9" s="37"/>
      <c r="D9" s="10" t="s">
        <v>293</v>
      </c>
      <c r="E9" s="10"/>
      <c r="F9" s="19"/>
      <c r="G9" s="20" t="s">
        <v>277</v>
      </c>
      <c r="H9" s="363">
        <f>+'Yr 1 Operating Statement of Act'!G11/12</f>
        <v>107770.83333333333</v>
      </c>
      <c r="I9" s="364">
        <f t="shared" ref="I9:S9" si="0">+H9</f>
        <v>107770.83333333333</v>
      </c>
      <c r="J9" s="364">
        <f t="shared" si="0"/>
        <v>107770.83333333333</v>
      </c>
      <c r="K9" s="364">
        <f t="shared" si="0"/>
        <v>107770.83333333333</v>
      </c>
      <c r="L9" s="364">
        <f t="shared" si="0"/>
        <v>107770.83333333333</v>
      </c>
      <c r="M9" s="364">
        <f t="shared" si="0"/>
        <v>107770.83333333333</v>
      </c>
      <c r="N9" s="364">
        <f t="shared" si="0"/>
        <v>107770.83333333333</v>
      </c>
      <c r="O9" s="364">
        <f t="shared" si="0"/>
        <v>107770.83333333333</v>
      </c>
      <c r="P9" s="364">
        <f t="shared" si="0"/>
        <v>107770.83333333333</v>
      </c>
      <c r="Q9" s="364">
        <f t="shared" si="0"/>
        <v>107770.83333333333</v>
      </c>
      <c r="R9" s="364">
        <f t="shared" si="0"/>
        <v>107770.83333333333</v>
      </c>
      <c r="S9" s="365">
        <f t="shared" si="0"/>
        <v>107770.83333333333</v>
      </c>
      <c r="T9" s="365">
        <f>SUM(H9:S9)</f>
        <v>1293250</v>
      </c>
      <c r="U9" s="365"/>
      <c r="V9" s="365">
        <f>+T9+U9</f>
        <v>1293250</v>
      </c>
    </row>
    <row r="10" spans="1:22" x14ac:dyDescent="0.2">
      <c r="A10" s="3" t="s">
        <v>440</v>
      </c>
      <c r="B10" s="211">
        <v>2</v>
      </c>
      <c r="C10" s="37"/>
      <c r="D10" s="10" t="s">
        <v>35</v>
      </c>
      <c r="E10" s="10"/>
      <c r="F10" s="19"/>
      <c r="G10" s="20" t="s">
        <v>216</v>
      </c>
      <c r="H10" s="363">
        <f>+'Yr 1 Operating Statement of Act'!G12</f>
        <v>0</v>
      </c>
      <c r="I10" s="364"/>
      <c r="J10" s="364"/>
      <c r="K10" s="364"/>
      <c r="L10" s="364"/>
      <c r="M10" s="364"/>
      <c r="N10" s="364"/>
      <c r="O10" s="364"/>
      <c r="P10" s="364"/>
      <c r="Q10" s="364"/>
      <c r="R10" s="364"/>
      <c r="S10" s="365"/>
      <c r="T10" s="365">
        <f t="shared" ref="T10:T18" si="1">SUM(H10:S10)</f>
        <v>0</v>
      </c>
      <c r="U10" s="365"/>
      <c r="V10" s="365">
        <f t="shared" ref="V10:V68" si="2">+T10+U10</f>
        <v>0</v>
      </c>
    </row>
    <row r="11" spans="1:22" x14ac:dyDescent="0.2">
      <c r="A11" s="3" t="s">
        <v>440</v>
      </c>
      <c r="B11" s="211">
        <v>3</v>
      </c>
      <c r="C11" s="37"/>
      <c r="D11" s="10" t="s">
        <v>36</v>
      </c>
      <c r="E11" s="10"/>
      <c r="F11" s="19"/>
      <c r="G11" s="20" t="s">
        <v>217</v>
      </c>
      <c r="H11" s="363">
        <f>+'Yr 1 Operating Statement of Act'!G13</f>
        <v>0</v>
      </c>
      <c r="I11" s="364"/>
      <c r="J11" s="364"/>
      <c r="K11" s="364"/>
      <c r="L11" s="364"/>
      <c r="M11" s="364"/>
      <c r="N11" s="364"/>
      <c r="O11" s="364"/>
      <c r="P11" s="364"/>
      <c r="Q11" s="364"/>
      <c r="R11" s="364"/>
      <c r="S11" s="365"/>
      <c r="T11" s="365">
        <f t="shared" si="1"/>
        <v>0</v>
      </c>
      <c r="U11" s="365"/>
      <c r="V11" s="365">
        <f t="shared" si="2"/>
        <v>0</v>
      </c>
    </row>
    <row r="12" spans="1:22" x14ac:dyDescent="0.2">
      <c r="A12" s="3" t="s">
        <v>440</v>
      </c>
      <c r="B12" s="211">
        <v>4</v>
      </c>
      <c r="C12" s="37"/>
      <c r="D12" s="10" t="s">
        <v>37</v>
      </c>
      <c r="E12" s="10"/>
      <c r="F12" s="19"/>
      <c r="G12" s="20">
        <v>1800</v>
      </c>
      <c r="H12" s="363">
        <f>+'Yr 1 Operating Statement of Act'!G14</f>
        <v>0</v>
      </c>
      <c r="I12" s="364"/>
      <c r="J12" s="364"/>
      <c r="K12" s="364"/>
      <c r="L12" s="364"/>
      <c r="M12" s="364"/>
      <c r="N12" s="364"/>
      <c r="O12" s="364"/>
      <c r="P12" s="364"/>
      <c r="Q12" s="364"/>
      <c r="R12" s="364"/>
      <c r="S12" s="365"/>
      <c r="T12" s="365">
        <f t="shared" si="1"/>
        <v>0</v>
      </c>
      <c r="U12" s="365"/>
      <c r="V12" s="365">
        <f t="shared" si="2"/>
        <v>0</v>
      </c>
    </row>
    <row r="13" spans="1:22" x14ac:dyDescent="0.2">
      <c r="A13" s="3" t="s">
        <v>440</v>
      </c>
      <c r="B13" s="211"/>
      <c r="C13" s="37"/>
      <c r="D13" s="10" t="s">
        <v>38</v>
      </c>
      <c r="E13" s="10"/>
      <c r="F13" s="62"/>
      <c r="G13" s="63"/>
      <c r="H13" s="378"/>
      <c r="I13" s="366"/>
      <c r="J13" s="366"/>
      <c r="K13" s="366"/>
      <c r="L13" s="366"/>
      <c r="M13" s="366"/>
      <c r="N13" s="366"/>
      <c r="O13" s="366"/>
      <c r="P13" s="366"/>
      <c r="Q13" s="366"/>
      <c r="R13" s="366"/>
      <c r="S13" s="379"/>
      <c r="T13" s="379"/>
      <c r="U13" s="379"/>
      <c r="V13" s="379"/>
    </row>
    <row r="14" spans="1:22" x14ac:dyDescent="0.2">
      <c r="A14" s="3" t="s">
        <v>440</v>
      </c>
      <c r="B14" s="211">
        <v>5</v>
      </c>
      <c r="C14" s="37"/>
      <c r="D14" s="10"/>
      <c r="E14" s="10" t="s">
        <v>39</v>
      </c>
      <c r="F14" s="19"/>
      <c r="G14" s="20" t="s">
        <v>40</v>
      </c>
      <c r="H14" s="363">
        <f>+'Yr 1 Operating Statement of Act'!G16/12</f>
        <v>23750</v>
      </c>
      <c r="I14" s="364">
        <f t="shared" ref="I14:S14" si="3">+H14</f>
        <v>23750</v>
      </c>
      <c r="J14" s="364">
        <f t="shared" si="3"/>
        <v>23750</v>
      </c>
      <c r="K14" s="364">
        <f t="shared" si="3"/>
        <v>23750</v>
      </c>
      <c r="L14" s="364">
        <f t="shared" si="3"/>
        <v>23750</v>
      </c>
      <c r="M14" s="364">
        <f t="shared" si="3"/>
        <v>23750</v>
      </c>
      <c r="N14" s="364">
        <f t="shared" si="3"/>
        <v>23750</v>
      </c>
      <c r="O14" s="364">
        <f t="shared" si="3"/>
        <v>23750</v>
      </c>
      <c r="P14" s="364">
        <f t="shared" si="3"/>
        <v>23750</v>
      </c>
      <c r="Q14" s="364">
        <f t="shared" si="3"/>
        <v>23750</v>
      </c>
      <c r="R14" s="364">
        <f t="shared" si="3"/>
        <v>23750</v>
      </c>
      <c r="S14" s="365">
        <f t="shared" si="3"/>
        <v>23750</v>
      </c>
      <c r="T14" s="365">
        <f t="shared" si="1"/>
        <v>285000</v>
      </c>
      <c r="U14" s="365"/>
      <c r="V14" s="365">
        <f t="shared" si="2"/>
        <v>285000</v>
      </c>
    </row>
    <row r="15" spans="1:22" x14ac:dyDescent="0.2">
      <c r="A15" s="3" t="s">
        <v>440</v>
      </c>
      <c r="B15" s="211">
        <v>6</v>
      </c>
      <c r="C15" s="37"/>
      <c r="D15" s="10"/>
      <c r="E15" s="10" t="s">
        <v>41</v>
      </c>
      <c r="F15" s="19"/>
      <c r="G15" s="20" t="s">
        <v>42</v>
      </c>
      <c r="H15" s="363">
        <f>+'Yr 1 Operating Statement of Act'!G17</f>
        <v>0</v>
      </c>
      <c r="I15" s="364"/>
      <c r="J15" s="364"/>
      <c r="K15" s="364"/>
      <c r="L15" s="364"/>
      <c r="M15" s="364"/>
      <c r="N15" s="364"/>
      <c r="O15" s="364"/>
      <c r="P15" s="364"/>
      <c r="Q15" s="364"/>
      <c r="R15" s="364"/>
      <c r="S15" s="365"/>
      <c r="T15" s="365">
        <f t="shared" si="1"/>
        <v>0</v>
      </c>
      <c r="U15" s="365"/>
      <c r="V15" s="365">
        <f t="shared" si="2"/>
        <v>0</v>
      </c>
    </row>
    <row r="16" spans="1:22" x14ac:dyDescent="0.2">
      <c r="A16" s="3" t="s">
        <v>440</v>
      </c>
      <c r="B16" s="213">
        <v>7</v>
      </c>
      <c r="C16" s="43"/>
      <c r="D16" s="44"/>
      <c r="E16" s="44" t="s">
        <v>255</v>
      </c>
      <c r="F16" s="23"/>
      <c r="G16" s="24" t="s">
        <v>218</v>
      </c>
      <c r="H16" s="363">
        <f>+'Yr 1 Operating Statement of Act'!G18</f>
        <v>0</v>
      </c>
      <c r="I16" s="367"/>
      <c r="J16" s="367"/>
      <c r="K16" s="367"/>
      <c r="L16" s="367"/>
      <c r="M16" s="367"/>
      <c r="N16" s="367"/>
      <c r="O16" s="367"/>
      <c r="P16" s="367"/>
      <c r="Q16" s="367"/>
      <c r="R16" s="367"/>
      <c r="S16" s="397"/>
      <c r="T16" s="365">
        <f t="shared" si="1"/>
        <v>0</v>
      </c>
      <c r="U16" s="365"/>
      <c r="V16" s="365">
        <f t="shared" si="2"/>
        <v>0</v>
      </c>
    </row>
    <row r="17" spans="1:22" s="95" customFormat="1" x14ac:dyDescent="0.2">
      <c r="A17" s="3" t="s">
        <v>440</v>
      </c>
      <c r="B17" s="215">
        <v>8</v>
      </c>
      <c r="C17" s="92"/>
      <c r="D17" s="83" t="s">
        <v>17</v>
      </c>
      <c r="E17" s="83"/>
      <c r="F17" s="93"/>
      <c r="G17" s="94"/>
      <c r="H17" s="416"/>
      <c r="I17" s="369"/>
      <c r="J17" s="369"/>
      <c r="K17" s="369"/>
      <c r="L17" s="369"/>
      <c r="M17" s="369"/>
      <c r="N17" s="369"/>
      <c r="O17" s="369"/>
      <c r="P17" s="369"/>
      <c r="Q17" s="369"/>
      <c r="R17" s="369"/>
      <c r="S17" s="410"/>
      <c r="T17" s="365">
        <f t="shared" si="1"/>
        <v>0</v>
      </c>
      <c r="U17" s="365"/>
      <c r="V17" s="365">
        <f t="shared" si="2"/>
        <v>0</v>
      </c>
    </row>
    <row r="18" spans="1:22" x14ac:dyDescent="0.2">
      <c r="A18" s="3" t="s">
        <v>440</v>
      </c>
      <c r="B18" s="213">
        <v>9</v>
      </c>
      <c r="C18" s="43"/>
      <c r="D18" s="44"/>
      <c r="E18" s="44"/>
      <c r="F18" s="23"/>
      <c r="G18" s="24"/>
      <c r="H18" s="396"/>
      <c r="I18" s="367"/>
      <c r="J18" s="367"/>
      <c r="K18" s="367"/>
      <c r="L18" s="367"/>
      <c r="M18" s="367"/>
      <c r="N18" s="367"/>
      <c r="O18" s="367"/>
      <c r="P18" s="367"/>
      <c r="Q18" s="367"/>
      <c r="R18" s="367"/>
      <c r="S18" s="397"/>
      <c r="T18" s="365">
        <f t="shared" si="1"/>
        <v>0</v>
      </c>
      <c r="U18" s="365"/>
      <c r="V18" s="365">
        <f t="shared" si="2"/>
        <v>0</v>
      </c>
    </row>
    <row r="19" spans="1:22" x14ac:dyDescent="0.2">
      <c r="A19" s="3" t="s">
        <v>440</v>
      </c>
      <c r="B19" s="216">
        <v>10</v>
      </c>
      <c r="C19" s="48" t="s">
        <v>269</v>
      </c>
      <c r="D19" s="7"/>
      <c r="E19" s="49"/>
      <c r="F19" s="50"/>
      <c r="G19" s="51"/>
      <c r="H19" s="372">
        <f t="shared" ref="H19:U19" si="4">SUM(H9:H18)</f>
        <v>131520.83333333331</v>
      </c>
      <c r="I19" s="373">
        <f t="shared" si="4"/>
        <v>131520.83333333331</v>
      </c>
      <c r="J19" s="373">
        <f t="shared" si="4"/>
        <v>131520.83333333331</v>
      </c>
      <c r="K19" s="373">
        <f t="shared" si="4"/>
        <v>131520.83333333331</v>
      </c>
      <c r="L19" s="373">
        <f t="shared" si="4"/>
        <v>131520.83333333331</v>
      </c>
      <c r="M19" s="373">
        <f t="shared" si="4"/>
        <v>131520.83333333331</v>
      </c>
      <c r="N19" s="373">
        <f t="shared" si="4"/>
        <v>131520.83333333331</v>
      </c>
      <c r="O19" s="373">
        <f t="shared" si="4"/>
        <v>131520.83333333331</v>
      </c>
      <c r="P19" s="373">
        <f t="shared" si="4"/>
        <v>131520.83333333331</v>
      </c>
      <c r="Q19" s="373">
        <f t="shared" si="4"/>
        <v>131520.83333333331</v>
      </c>
      <c r="R19" s="373">
        <f t="shared" si="4"/>
        <v>131520.83333333331</v>
      </c>
      <c r="S19" s="374">
        <f t="shared" si="4"/>
        <v>131520.83333333331</v>
      </c>
      <c r="T19" s="374">
        <f t="shared" si="4"/>
        <v>1578250</v>
      </c>
      <c r="U19" s="374">
        <f t="shared" si="4"/>
        <v>0</v>
      </c>
      <c r="V19" s="374">
        <f t="shared" si="2"/>
        <v>1578250</v>
      </c>
    </row>
    <row r="20" spans="1:22" x14ac:dyDescent="0.2">
      <c r="A20" s="3" t="s">
        <v>440</v>
      </c>
      <c r="B20" s="30"/>
      <c r="C20" s="36"/>
      <c r="D20" s="13"/>
      <c r="E20" s="13"/>
      <c r="F20" s="72"/>
      <c r="G20" s="73"/>
      <c r="H20" s="389"/>
      <c r="I20" s="371"/>
      <c r="J20" s="371"/>
      <c r="K20" s="371"/>
      <c r="L20" s="371"/>
      <c r="M20" s="371"/>
      <c r="N20" s="371"/>
      <c r="O20" s="371"/>
      <c r="P20" s="371"/>
      <c r="Q20" s="371"/>
      <c r="R20" s="371"/>
      <c r="S20" s="390"/>
      <c r="T20" s="390"/>
      <c r="U20" s="390"/>
      <c r="V20" s="379"/>
    </row>
    <row r="21" spans="1:22" x14ac:dyDescent="0.2">
      <c r="A21" s="3" t="s">
        <v>440</v>
      </c>
      <c r="B21" s="31"/>
      <c r="C21" s="26" t="s">
        <v>43</v>
      </c>
      <c r="D21" s="12"/>
      <c r="E21" s="12"/>
      <c r="F21" s="62"/>
      <c r="G21" s="63"/>
      <c r="H21" s="378"/>
      <c r="I21" s="366"/>
      <c r="J21" s="366"/>
      <c r="K21" s="366"/>
      <c r="L21" s="366"/>
      <c r="M21" s="366"/>
      <c r="N21" s="366"/>
      <c r="O21" s="366"/>
      <c r="P21" s="366"/>
      <c r="Q21" s="366"/>
      <c r="R21" s="366"/>
      <c r="S21" s="379"/>
      <c r="T21" s="379"/>
      <c r="U21" s="379"/>
      <c r="V21" s="379"/>
    </row>
    <row r="22" spans="1:22" x14ac:dyDescent="0.2">
      <c r="A22" s="3" t="s">
        <v>440</v>
      </c>
      <c r="B22" s="32"/>
      <c r="C22" s="37"/>
      <c r="D22" s="10" t="s">
        <v>44</v>
      </c>
      <c r="E22" s="10"/>
      <c r="F22" s="62"/>
      <c r="G22" s="63"/>
      <c r="H22" s="378"/>
      <c r="I22" s="366"/>
      <c r="J22" s="366"/>
      <c r="K22" s="366"/>
      <c r="L22" s="366"/>
      <c r="M22" s="366"/>
      <c r="N22" s="366"/>
      <c r="O22" s="366"/>
      <c r="P22" s="366"/>
      <c r="Q22" s="366"/>
      <c r="R22" s="366"/>
      <c r="S22" s="379"/>
      <c r="T22" s="379"/>
      <c r="U22" s="379"/>
      <c r="V22" s="379"/>
    </row>
    <row r="23" spans="1:22" x14ac:dyDescent="0.2">
      <c r="A23" s="3" t="s">
        <v>440</v>
      </c>
      <c r="B23" s="32">
        <v>11</v>
      </c>
      <c r="C23" s="37"/>
      <c r="D23" s="10"/>
      <c r="E23" s="10" t="s">
        <v>294</v>
      </c>
      <c r="F23" s="19"/>
      <c r="G23" s="20" t="s">
        <v>20</v>
      </c>
      <c r="H23" s="363">
        <f>+'Yr 1 Operating Statement of Act'!G25/12</f>
        <v>44245.541666666664</v>
      </c>
      <c r="I23" s="364">
        <f t="shared" ref="I23:S23" si="5">+H23</f>
        <v>44245.541666666664</v>
      </c>
      <c r="J23" s="364">
        <f t="shared" si="5"/>
        <v>44245.541666666664</v>
      </c>
      <c r="K23" s="364">
        <f t="shared" si="5"/>
        <v>44245.541666666664</v>
      </c>
      <c r="L23" s="364">
        <f t="shared" si="5"/>
        <v>44245.541666666664</v>
      </c>
      <c r="M23" s="364">
        <f t="shared" si="5"/>
        <v>44245.541666666664</v>
      </c>
      <c r="N23" s="364">
        <f t="shared" si="5"/>
        <v>44245.541666666664</v>
      </c>
      <c r="O23" s="364">
        <f t="shared" si="5"/>
        <v>44245.541666666664</v>
      </c>
      <c r="P23" s="364">
        <f t="shared" si="5"/>
        <v>44245.541666666664</v>
      </c>
      <c r="Q23" s="364">
        <f t="shared" si="5"/>
        <v>44245.541666666664</v>
      </c>
      <c r="R23" s="364">
        <f t="shared" si="5"/>
        <v>44245.541666666664</v>
      </c>
      <c r="S23" s="365">
        <f t="shared" si="5"/>
        <v>44245.541666666664</v>
      </c>
      <c r="T23" s="365">
        <f>SUM(H23:S23)</f>
        <v>530946.50000000012</v>
      </c>
      <c r="U23" s="365"/>
      <c r="V23" s="365">
        <f t="shared" si="2"/>
        <v>530946.50000000012</v>
      </c>
    </row>
    <row r="24" spans="1:22" x14ac:dyDescent="0.2">
      <c r="A24" s="3" t="s">
        <v>440</v>
      </c>
      <c r="B24" s="211">
        <v>12</v>
      </c>
      <c r="C24" s="37"/>
      <c r="D24" s="10"/>
      <c r="E24" s="10" t="s">
        <v>45</v>
      </c>
      <c r="F24" s="19"/>
      <c r="G24" s="20" t="s">
        <v>46</v>
      </c>
      <c r="H24" s="363">
        <f>+'Yr 1 Operating Statement of Act'!$G26*0</f>
        <v>0</v>
      </c>
      <c r="I24" s="367">
        <f>+'Yr 1 Operating Statement of Act'!$G26*0</f>
        <v>0</v>
      </c>
      <c r="J24" s="367">
        <f>+'Yr 1 Operating Statement of Act'!$G26*0</f>
        <v>0</v>
      </c>
      <c r="K24" s="367">
        <f>+'Yr 1 Operating Statement of Act'!$G26/10</f>
        <v>5000</v>
      </c>
      <c r="L24" s="367">
        <f>+'Yr 1 Operating Statement of Act'!$G26/10</f>
        <v>5000</v>
      </c>
      <c r="M24" s="367">
        <f>+'Yr 1 Operating Statement of Act'!$G26/10</f>
        <v>5000</v>
      </c>
      <c r="N24" s="367">
        <f>+'Yr 1 Operating Statement of Act'!$G26/10</f>
        <v>5000</v>
      </c>
      <c r="O24" s="367">
        <f>+'Yr 1 Operating Statement of Act'!$G26/10</f>
        <v>5000</v>
      </c>
      <c r="P24" s="367">
        <f>+'Yr 1 Operating Statement of Act'!$G26/10</f>
        <v>5000</v>
      </c>
      <c r="Q24" s="367">
        <f>+'Yr 1 Operating Statement of Act'!$G26/10</f>
        <v>5000</v>
      </c>
      <c r="R24" s="367">
        <f>+'Yr 1 Operating Statement of Act'!$G26/10</f>
        <v>5000</v>
      </c>
      <c r="S24" s="397">
        <f>+'Yr 1 Operating Statement of Act'!$G26/10</f>
        <v>5000</v>
      </c>
      <c r="T24" s="365">
        <f>SUM(H24:S24)</f>
        <v>45000</v>
      </c>
      <c r="U24" s="365">
        <f>+'Yr 1 Operating Statement of Act'!$G26/10</f>
        <v>5000</v>
      </c>
      <c r="V24" s="365">
        <f t="shared" si="2"/>
        <v>50000</v>
      </c>
    </row>
    <row r="25" spans="1:22" x14ac:dyDescent="0.2">
      <c r="A25" s="3" t="s">
        <v>440</v>
      </c>
      <c r="B25" s="211"/>
      <c r="C25" s="37"/>
      <c r="D25" s="10" t="s">
        <v>47</v>
      </c>
      <c r="E25" s="10"/>
      <c r="F25" s="62"/>
      <c r="G25" s="63"/>
      <c r="H25" s="378"/>
      <c r="I25" s="366"/>
      <c r="J25" s="366"/>
      <c r="K25" s="366"/>
      <c r="L25" s="366"/>
      <c r="M25" s="366"/>
      <c r="N25" s="366"/>
      <c r="O25" s="366"/>
      <c r="P25" s="366"/>
      <c r="Q25" s="366"/>
      <c r="R25" s="366"/>
      <c r="S25" s="379"/>
      <c r="T25" s="379"/>
      <c r="U25" s="379"/>
      <c r="V25" s="379"/>
    </row>
    <row r="26" spans="1:22" x14ac:dyDescent="0.2">
      <c r="A26" s="3" t="s">
        <v>440</v>
      </c>
      <c r="B26" s="211">
        <v>13</v>
      </c>
      <c r="C26" s="37"/>
      <c r="D26" s="10"/>
      <c r="E26" s="10" t="s">
        <v>48</v>
      </c>
      <c r="F26" s="19"/>
      <c r="G26" s="20" t="s">
        <v>49</v>
      </c>
      <c r="H26" s="363">
        <f>+'Yr 1 Operating Statement of Act'!G28</f>
        <v>0</v>
      </c>
      <c r="I26" s="364"/>
      <c r="J26" s="364"/>
      <c r="K26" s="364"/>
      <c r="L26" s="364"/>
      <c r="M26" s="364"/>
      <c r="N26" s="364"/>
      <c r="O26" s="364"/>
      <c r="P26" s="364"/>
      <c r="Q26" s="364"/>
      <c r="R26" s="364"/>
      <c r="S26" s="365"/>
      <c r="T26" s="365">
        <f>SUM(H26:S26)</f>
        <v>0</v>
      </c>
      <c r="U26" s="365"/>
      <c r="V26" s="365">
        <f t="shared" si="2"/>
        <v>0</v>
      </c>
    </row>
    <row r="27" spans="1:22" x14ac:dyDescent="0.2">
      <c r="A27" s="3" t="s">
        <v>440</v>
      </c>
      <c r="B27" s="211">
        <v>14</v>
      </c>
      <c r="C27" s="37"/>
      <c r="D27" s="10"/>
      <c r="E27" s="10" t="s">
        <v>50</v>
      </c>
      <c r="F27" s="19"/>
      <c r="G27" s="20" t="s">
        <v>51</v>
      </c>
      <c r="H27" s="363">
        <f>+'Yr 1 Operating Statement of Act'!G29</f>
        <v>0</v>
      </c>
      <c r="I27" s="364"/>
      <c r="J27" s="364"/>
      <c r="K27" s="364"/>
      <c r="L27" s="364"/>
      <c r="M27" s="364"/>
      <c r="N27" s="364"/>
      <c r="O27" s="364"/>
      <c r="P27" s="364"/>
      <c r="Q27" s="364"/>
      <c r="R27" s="364"/>
      <c r="S27" s="365"/>
      <c r="T27" s="365">
        <f>SUM(H27:S27)</f>
        <v>0</v>
      </c>
      <c r="U27" s="365"/>
      <c r="V27" s="365">
        <f t="shared" si="2"/>
        <v>0</v>
      </c>
    </row>
    <row r="28" spans="1:22" x14ac:dyDescent="0.2">
      <c r="A28" s="3" t="s">
        <v>440</v>
      </c>
      <c r="B28" s="213">
        <v>15</v>
      </c>
      <c r="C28" s="43"/>
      <c r="D28" s="44"/>
      <c r="E28" s="44" t="s">
        <v>52</v>
      </c>
      <c r="F28" s="23"/>
      <c r="G28" s="24" t="s">
        <v>53</v>
      </c>
      <c r="H28" s="363">
        <f>+'Yr 1 Operating Statement of Act'!$G30*0</f>
        <v>0</v>
      </c>
      <c r="I28" s="367">
        <f>+'Yr 1 Operating Statement of Act'!$G30*0</f>
        <v>0</v>
      </c>
      <c r="J28" s="367">
        <f>+'Yr 1 Operating Statement of Act'!$G30*0</f>
        <v>0</v>
      </c>
      <c r="K28" s="367">
        <f>+'Yr 1 Operating Statement of Act'!$G30/10</f>
        <v>9200</v>
      </c>
      <c r="L28" s="367">
        <f>+'Yr 1 Operating Statement of Act'!$G30/10</f>
        <v>9200</v>
      </c>
      <c r="M28" s="367">
        <f>+'Yr 1 Operating Statement of Act'!$G30/10</f>
        <v>9200</v>
      </c>
      <c r="N28" s="367">
        <f>+'Yr 1 Operating Statement of Act'!$G30/10</f>
        <v>9200</v>
      </c>
      <c r="O28" s="367">
        <f>+'Yr 1 Operating Statement of Act'!$G30/10</f>
        <v>9200</v>
      </c>
      <c r="P28" s="367">
        <f>+'Yr 1 Operating Statement of Act'!$G30/10</f>
        <v>9200</v>
      </c>
      <c r="Q28" s="367">
        <f>+'Yr 1 Operating Statement of Act'!$G30/10</f>
        <v>9200</v>
      </c>
      <c r="R28" s="367">
        <f>+'Yr 1 Operating Statement of Act'!$G30/10</f>
        <v>9200</v>
      </c>
      <c r="S28" s="397">
        <f>+'Yr 1 Operating Statement of Act'!$G30/10</f>
        <v>9200</v>
      </c>
      <c r="T28" s="365">
        <f>SUM(H28:S28)</f>
        <v>82800</v>
      </c>
      <c r="U28" s="365">
        <f>+'Yr 1 Operating Statement of Act'!$G30/10</f>
        <v>9200</v>
      </c>
      <c r="V28" s="365">
        <f t="shared" si="2"/>
        <v>92000</v>
      </c>
    </row>
    <row r="29" spans="1:22" s="95" customFormat="1" x14ac:dyDescent="0.2">
      <c r="A29" s="3" t="s">
        <v>440</v>
      </c>
      <c r="B29" s="215">
        <v>16</v>
      </c>
      <c r="C29" s="92"/>
      <c r="D29" s="83" t="s">
        <v>17</v>
      </c>
      <c r="E29" s="83"/>
      <c r="F29" s="93"/>
      <c r="G29" s="94"/>
      <c r="H29" s="416"/>
      <c r="I29" s="369"/>
      <c r="J29" s="369"/>
      <c r="K29" s="369"/>
      <c r="L29" s="369"/>
      <c r="M29" s="369"/>
      <c r="N29" s="369"/>
      <c r="O29" s="369"/>
      <c r="P29" s="369"/>
      <c r="Q29" s="369"/>
      <c r="R29" s="369"/>
      <c r="S29" s="410"/>
      <c r="T29" s="365">
        <f>SUM(H29:S29)</f>
        <v>0</v>
      </c>
      <c r="U29" s="365"/>
      <c r="V29" s="365">
        <f t="shared" si="2"/>
        <v>0</v>
      </c>
    </row>
    <row r="30" spans="1:22" x14ac:dyDescent="0.2">
      <c r="A30" s="3" t="s">
        <v>440</v>
      </c>
      <c r="B30" s="213">
        <v>17</v>
      </c>
      <c r="C30" s="43"/>
      <c r="D30" s="44"/>
      <c r="E30" s="44"/>
      <c r="F30" s="23"/>
      <c r="G30" s="24"/>
      <c r="H30" s="396"/>
      <c r="I30" s="367"/>
      <c r="J30" s="367"/>
      <c r="K30" s="367"/>
      <c r="L30" s="367"/>
      <c r="M30" s="367"/>
      <c r="N30" s="367"/>
      <c r="O30" s="367"/>
      <c r="P30" s="367"/>
      <c r="Q30" s="367"/>
      <c r="R30" s="367"/>
      <c r="S30" s="397"/>
      <c r="T30" s="365">
        <f>SUM(H30:S30)</f>
        <v>0</v>
      </c>
      <c r="U30" s="365"/>
      <c r="V30" s="365">
        <f t="shared" si="2"/>
        <v>0</v>
      </c>
    </row>
    <row r="31" spans="1:22" x14ac:dyDescent="0.2">
      <c r="A31" s="3" t="s">
        <v>440</v>
      </c>
      <c r="B31" s="216">
        <v>18</v>
      </c>
      <c r="C31" s="48" t="s">
        <v>270</v>
      </c>
      <c r="D31" s="7"/>
      <c r="E31" s="7"/>
      <c r="F31" s="50"/>
      <c r="G31" s="51"/>
      <c r="H31" s="372">
        <f t="shared" ref="H31:U31" si="6">SUM(H23:H30)</f>
        <v>44245.541666666664</v>
      </c>
      <c r="I31" s="373">
        <f t="shared" si="6"/>
        <v>44245.541666666664</v>
      </c>
      <c r="J31" s="373">
        <f t="shared" si="6"/>
        <v>44245.541666666664</v>
      </c>
      <c r="K31" s="373">
        <f t="shared" si="6"/>
        <v>58445.541666666664</v>
      </c>
      <c r="L31" s="373">
        <f t="shared" si="6"/>
        <v>58445.541666666664</v>
      </c>
      <c r="M31" s="373">
        <f t="shared" si="6"/>
        <v>58445.541666666664</v>
      </c>
      <c r="N31" s="373">
        <f t="shared" si="6"/>
        <v>58445.541666666664</v>
      </c>
      <c r="O31" s="373">
        <f t="shared" si="6"/>
        <v>58445.541666666664</v>
      </c>
      <c r="P31" s="373">
        <f t="shared" si="6"/>
        <v>58445.541666666664</v>
      </c>
      <c r="Q31" s="373">
        <f t="shared" si="6"/>
        <v>58445.541666666664</v>
      </c>
      <c r="R31" s="373">
        <f t="shared" si="6"/>
        <v>58445.541666666664</v>
      </c>
      <c r="S31" s="374">
        <f t="shared" si="6"/>
        <v>58445.541666666664</v>
      </c>
      <c r="T31" s="374">
        <f t="shared" si="6"/>
        <v>658746.50000000012</v>
      </c>
      <c r="U31" s="374">
        <f t="shared" si="6"/>
        <v>14200</v>
      </c>
      <c r="V31" s="374">
        <f t="shared" si="2"/>
        <v>672946.50000000012</v>
      </c>
    </row>
    <row r="32" spans="1:22" s="102" customFormat="1" x14ac:dyDescent="0.2">
      <c r="A32" s="3" t="s">
        <v>440</v>
      </c>
      <c r="B32" s="104"/>
      <c r="F32" s="103"/>
      <c r="G32" s="103"/>
    </row>
    <row r="33" spans="1:22" s="102" customFormat="1" x14ac:dyDescent="0.2">
      <c r="A33" s="3" t="s">
        <v>440</v>
      </c>
      <c r="B33" s="101"/>
      <c r="F33" s="103"/>
      <c r="G33" s="103"/>
    </row>
    <row r="34" spans="1:22" s="102" customFormat="1" x14ac:dyDescent="0.2">
      <c r="A34" s="3" t="s">
        <v>440</v>
      </c>
      <c r="B34" s="101"/>
      <c r="F34" s="103"/>
      <c r="G34" s="103"/>
    </row>
    <row r="35" spans="1:22" s="102" customFormat="1" x14ac:dyDescent="0.2">
      <c r="A35" s="3" t="s">
        <v>440</v>
      </c>
      <c r="B35" s="101"/>
      <c r="F35" s="103"/>
      <c r="G35" s="103"/>
    </row>
    <row r="36" spans="1:22" s="102" customFormat="1" ht="42" customHeight="1" x14ac:dyDescent="0.2">
      <c r="A36" s="3" t="s">
        <v>440</v>
      </c>
      <c r="B36" s="654" t="s">
        <v>10</v>
      </c>
      <c r="C36" s="677"/>
      <c r="D36" s="677"/>
      <c r="E36" s="677"/>
      <c r="F36" s="677"/>
      <c r="G36" s="677"/>
      <c r="H36" s="677"/>
      <c r="I36" s="677"/>
      <c r="J36" s="677"/>
      <c r="K36" s="677"/>
      <c r="L36" s="677"/>
    </row>
    <row r="37" spans="1:22" s="102" customFormat="1" x14ac:dyDescent="0.2">
      <c r="A37" s="3" t="s">
        <v>440</v>
      </c>
      <c r="B37" s="101"/>
      <c r="F37" s="103"/>
      <c r="G37" s="103"/>
    </row>
    <row r="38" spans="1:22" s="102" customFormat="1" x14ac:dyDescent="0.2">
      <c r="A38" s="3" t="s">
        <v>440</v>
      </c>
      <c r="B38" s="101"/>
      <c r="F38" s="103"/>
      <c r="G38" s="103"/>
    </row>
    <row r="39" spans="1:22" x14ac:dyDescent="0.2">
      <c r="A39" s="3" t="s">
        <v>440</v>
      </c>
      <c r="B39" s="217"/>
      <c r="C39" s="27" t="s">
        <v>54</v>
      </c>
      <c r="D39" s="25"/>
      <c r="E39" s="25"/>
      <c r="F39" s="72"/>
      <c r="G39" s="157"/>
      <c r="H39" s="389"/>
      <c r="I39" s="371"/>
      <c r="J39" s="371"/>
      <c r="K39" s="371"/>
      <c r="L39" s="371"/>
      <c r="M39" s="371"/>
      <c r="N39" s="371"/>
      <c r="O39" s="371"/>
      <c r="P39" s="371"/>
      <c r="Q39" s="371"/>
      <c r="R39" s="371"/>
      <c r="S39" s="390"/>
      <c r="T39" s="390"/>
      <c r="U39" s="390"/>
      <c r="V39" s="379"/>
    </row>
    <row r="40" spans="1:22" x14ac:dyDescent="0.2">
      <c r="A40" s="3" t="s">
        <v>440</v>
      </c>
      <c r="B40" s="211"/>
      <c r="C40" s="37"/>
      <c r="D40" s="10" t="s">
        <v>256</v>
      </c>
      <c r="E40" s="10"/>
      <c r="F40" s="62"/>
      <c r="G40" s="158"/>
      <c r="H40" s="378"/>
      <c r="I40" s="366"/>
      <c r="J40" s="366"/>
      <c r="K40" s="366"/>
      <c r="L40" s="366"/>
      <c r="M40" s="366"/>
      <c r="N40" s="366"/>
      <c r="O40" s="366"/>
      <c r="P40" s="366"/>
      <c r="Q40" s="366"/>
      <c r="R40" s="366"/>
      <c r="S40" s="379"/>
      <c r="T40" s="379"/>
      <c r="U40" s="379"/>
      <c r="V40" s="379"/>
    </row>
    <row r="41" spans="1:22" x14ac:dyDescent="0.2">
      <c r="A41" s="3" t="s">
        <v>440</v>
      </c>
      <c r="B41" s="211">
        <v>19</v>
      </c>
      <c r="C41" s="37"/>
      <c r="D41" s="10"/>
      <c r="E41" s="10" t="s">
        <v>55</v>
      </c>
      <c r="F41" s="19"/>
      <c r="G41" s="159" t="s">
        <v>56</v>
      </c>
      <c r="H41" s="363">
        <f>+'Yr 1 Operating Statement of Act'!G43</f>
        <v>0</v>
      </c>
      <c r="I41" s="364"/>
      <c r="J41" s="364"/>
      <c r="K41" s="364"/>
      <c r="L41" s="364"/>
      <c r="M41" s="364"/>
      <c r="N41" s="364"/>
      <c r="O41" s="364"/>
      <c r="P41" s="364"/>
      <c r="Q41" s="364"/>
      <c r="R41" s="364"/>
      <c r="S41" s="365"/>
      <c r="T41" s="365">
        <f>SUM(H41:S41)</f>
        <v>0</v>
      </c>
      <c r="U41" s="365"/>
      <c r="V41" s="365">
        <f t="shared" si="2"/>
        <v>0</v>
      </c>
    </row>
    <row r="42" spans="1:22" x14ac:dyDescent="0.2">
      <c r="A42" s="3" t="s">
        <v>440</v>
      </c>
      <c r="B42" s="211"/>
      <c r="C42" s="37"/>
      <c r="D42" s="10" t="s">
        <v>257</v>
      </c>
      <c r="E42" s="10"/>
      <c r="F42" s="62"/>
      <c r="G42" s="158"/>
      <c r="H42" s="378"/>
      <c r="I42" s="366"/>
      <c r="J42" s="366"/>
      <c r="K42" s="366"/>
      <c r="L42" s="366"/>
      <c r="M42" s="366"/>
      <c r="N42" s="366"/>
      <c r="O42" s="366"/>
      <c r="P42" s="366"/>
      <c r="Q42" s="366"/>
      <c r="R42" s="366"/>
      <c r="S42" s="379"/>
      <c r="T42" s="379"/>
      <c r="U42" s="379"/>
      <c r="V42" s="379"/>
    </row>
    <row r="43" spans="1:22" x14ac:dyDescent="0.2">
      <c r="A43" s="3" t="s">
        <v>440</v>
      </c>
      <c r="B43" s="211">
        <v>20</v>
      </c>
      <c r="C43" s="37"/>
      <c r="D43" s="10"/>
      <c r="E43" s="10" t="s">
        <v>57</v>
      </c>
      <c r="F43" s="19"/>
      <c r="G43" s="159" t="s">
        <v>58</v>
      </c>
      <c r="H43" s="363">
        <f>+'Yr 1 Operating Statement of Act'!G45</f>
        <v>0</v>
      </c>
      <c r="I43" s="364"/>
      <c r="J43" s="364"/>
      <c r="K43" s="364"/>
      <c r="L43" s="364"/>
      <c r="M43" s="364"/>
      <c r="N43" s="364"/>
      <c r="O43" s="364"/>
      <c r="P43" s="364"/>
      <c r="Q43" s="364"/>
      <c r="R43" s="364"/>
      <c r="S43" s="365"/>
      <c r="T43" s="365">
        <f>SUM(H43:S43)</f>
        <v>0</v>
      </c>
      <c r="U43" s="365"/>
      <c r="V43" s="365">
        <f t="shared" si="2"/>
        <v>0</v>
      </c>
    </row>
    <row r="44" spans="1:22" x14ac:dyDescent="0.2">
      <c r="A44" s="3" t="s">
        <v>440</v>
      </c>
      <c r="B44" s="211"/>
      <c r="C44" s="37"/>
      <c r="D44" s="10" t="s">
        <v>21</v>
      </c>
      <c r="E44" s="10"/>
      <c r="F44" s="62"/>
      <c r="G44" s="158"/>
      <c r="H44" s="378"/>
      <c r="I44" s="366"/>
      <c r="J44" s="366"/>
      <c r="K44" s="366"/>
      <c r="L44" s="366"/>
      <c r="M44" s="366"/>
      <c r="N44" s="366"/>
      <c r="O44" s="366"/>
      <c r="P44" s="366"/>
      <c r="Q44" s="366"/>
      <c r="R44" s="366"/>
      <c r="S44" s="379"/>
      <c r="T44" s="379"/>
      <c r="U44" s="379"/>
      <c r="V44" s="379"/>
    </row>
    <row r="45" spans="1:22" x14ac:dyDescent="0.2">
      <c r="A45" s="3" t="s">
        <v>440</v>
      </c>
      <c r="B45" s="211">
        <v>21</v>
      </c>
      <c r="C45" s="37"/>
      <c r="D45" s="10"/>
      <c r="E45" s="10" t="s">
        <v>59</v>
      </c>
      <c r="F45" s="19"/>
      <c r="G45" s="159" t="s">
        <v>60</v>
      </c>
      <c r="H45" s="363">
        <f>+'Yr 1 Operating Statement of Act'!$G47*0</f>
        <v>0</v>
      </c>
      <c r="I45" s="364">
        <f>+'Yr 1 Operating Statement of Act'!$G47*0</f>
        <v>0</v>
      </c>
      <c r="J45" s="364">
        <f>+'Yr 1 Operating Statement of Act'!$G47*'KIPP Assumptions'!$C$118</f>
        <v>12113.636363636364</v>
      </c>
      <c r="K45" s="364">
        <f>+'Yr 1 Operating Statement of Act'!$G47*'KIPP Assumptions'!$C$119</f>
        <v>10902.272727272728</v>
      </c>
      <c r="L45" s="364">
        <f>+'Yr 1 Operating Statement of Act'!$G47*'KIPP Assumptions'!$C$120</f>
        <v>11507.954545454546</v>
      </c>
      <c r="M45" s="364">
        <f>+'Yr 1 Operating Statement of Act'!$G47*'KIPP Assumptions'!$C$121</f>
        <v>9690.9090909090919</v>
      </c>
      <c r="N45" s="364">
        <f>+'Yr 1 Operating Statement of Act'!$G47*'KIPP Assumptions'!$C$122</f>
        <v>7268.181818181818</v>
      </c>
      <c r="O45" s="364">
        <f>+'Yr 1 Operating Statement of Act'!$G47*'KIPP Assumptions'!$C$123</f>
        <v>12113.636363636364</v>
      </c>
      <c r="P45" s="364">
        <f>+'Yr 1 Operating Statement of Act'!$G47*'KIPP Assumptions'!$C$124</f>
        <v>12113.636363636364</v>
      </c>
      <c r="Q45" s="364">
        <f>+'Yr 1 Operating Statement of Act'!$G47*'KIPP Assumptions'!$C$125</f>
        <v>7873.8636363636369</v>
      </c>
      <c r="R45" s="364">
        <f>+'Yr 1 Operating Statement of Act'!$G47*'KIPP Assumptions'!$C$126</f>
        <v>12719.318181818182</v>
      </c>
      <c r="S45" s="365">
        <f>+'Yr 1 Operating Statement of Act'!$G47*'KIPP Assumptions'!$C$127</f>
        <v>10296.590909090908</v>
      </c>
      <c r="T45" s="365">
        <f>SUM(H45:S45)</f>
        <v>106600</v>
      </c>
      <c r="U45" s="365"/>
      <c r="V45" s="365">
        <f t="shared" si="2"/>
        <v>106600</v>
      </c>
    </row>
    <row r="46" spans="1:22" x14ac:dyDescent="0.2">
      <c r="A46" s="3" t="s">
        <v>440</v>
      </c>
      <c r="B46" s="211"/>
      <c r="C46" s="37"/>
      <c r="D46" s="10"/>
      <c r="E46" s="10" t="s">
        <v>61</v>
      </c>
      <c r="F46" s="62"/>
      <c r="G46" s="158"/>
      <c r="H46" s="378"/>
      <c r="I46" s="366"/>
      <c r="J46" s="366"/>
      <c r="K46" s="366"/>
      <c r="L46" s="366"/>
      <c r="M46" s="366"/>
      <c r="N46" s="366"/>
      <c r="O46" s="366"/>
      <c r="P46" s="366"/>
      <c r="Q46" s="366"/>
      <c r="R46" s="366"/>
      <c r="S46" s="379"/>
      <c r="T46" s="379"/>
      <c r="U46" s="379"/>
      <c r="V46" s="379"/>
    </row>
    <row r="47" spans="1:22" x14ac:dyDescent="0.2">
      <c r="A47" s="3" t="s">
        <v>440</v>
      </c>
      <c r="B47" s="211">
        <v>22</v>
      </c>
      <c r="C47" s="37"/>
      <c r="D47" s="10"/>
      <c r="E47" s="10" t="s">
        <v>258</v>
      </c>
      <c r="F47" s="19"/>
      <c r="G47" s="159" t="s">
        <v>62</v>
      </c>
      <c r="H47" s="363">
        <f>+'Yr 1 Operating Statement of Act'!$G49*0</f>
        <v>0</v>
      </c>
      <c r="I47" s="364">
        <f>+'Yr 1 Operating Statement of Act'!$G49*0</f>
        <v>0</v>
      </c>
      <c r="J47" s="364">
        <f>+'Yr 1 Operating Statement of Act'!$G49*0</f>
        <v>0</v>
      </c>
      <c r="K47" s="364">
        <f>+'Yr 1 Operating Statement of Act'!$G49/10</f>
        <v>12000</v>
      </c>
      <c r="L47" s="364">
        <f>+'Yr 1 Operating Statement of Act'!$G49/10</f>
        <v>12000</v>
      </c>
      <c r="M47" s="364">
        <f>+'Yr 1 Operating Statement of Act'!$G49/10</f>
        <v>12000</v>
      </c>
      <c r="N47" s="364">
        <f>+'Yr 1 Operating Statement of Act'!$G49/10</f>
        <v>12000</v>
      </c>
      <c r="O47" s="364">
        <f>+'Yr 1 Operating Statement of Act'!$G49/10</f>
        <v>12000</v>
      </c>
      <c r="P47" s="364">
        <f>+'Yr 1 Operating Statement of Act'!$G49/10</f>
        <v>12000</v>
      </c>
      <c r="Q47" s="364">
        <f>+'Yr 1 Operating Statement of Act'!$G49/10</f>
        <v>12000</v>
      </c>
      <c r="R47" s="364">
        <f>+'Yr 1 Operating Statement of Act'!$G49/10</f>
        <v>12000</v>
      </c>
      <c r="S47" s="365">
        <f>+'Yr 1 Operating Statement of Act'!$G49/10</f>
        <v>12000</v>
      </c>
      <c r="T47" s="365">
        <f>SUM(H47:S47)</f>
        <v>108000</v>
      </c>
      <c r="U47" s="365">
        <f>+'Yr 1 Operating Statement of Act'!$G49/10</f>
        <v>12000</v>
      </c>
      <c r="V47" s="365">
        <f t="shared" si="2"/>
        <v>120000</v>
      </c>
    </row>
    <row r="48" spans="1:22" x14ac:dyDescent="0.2">
      <c r="A48" s="3" t="s">
        <v>440</v>
      </c>
      <c r="B48" s="211">
        <v>23</v>
      </c>
      <c r="C48" s="37"/>
      <c r="D48" s="10"/>
      <c r="E48" s="10" t="s">
        <v>259</v>
      </c>
      <c r="F48" s="19"/>
      <c r="G48" s="159" t="s">
        <v>63</v>
      </c>
      <c r="H48" s="363">
        <f>+'Yr 1 Operating Statement of Act'!$G50*0</f>
        <v>0</v>
      </c>
      <c r="I48" s="364">
        <f>+'Yr 1 Operating Statement of Act'!$G50*0</f>
        <v>0</v>
      </c>
      <c r="J48" s="364">
        <f>+'Yr 1 Operating Statement of Act'!$G50*0</f>
        <v>0</v>
      </c>
      <c r="K48" s="364">
        <f>+'Yr 1 Operating Statement of Act'!$G50/10</f>
        <v>0</v>
      </c>
      <c r="L48" s="364">
        <f>+'Yr 1 Operating Statement of Act'!$G50/10</f>
        <v>0</v>
      </c>
      <c r="M48" s="364">
        <f>+'Yr 1 Operating Statement of Act'!$G50/10</f>
        <v>0</v>
      </c>
      <c r="N48" s="364">
        <f>+'Yr 1 Operating Statement of Act'!$G50/10</f>
        <v>0</v>
      </c>
      <c r="O48" s="364">
        <f>+'Yr 1 Operating Statement of Act'!$G50/10</f>
        <v>0</v>
      </c>
      <c r="P48" s="364">
        <f>+'Yr 1 Operating Statement of Act'!$G50/10</f>
        <v>0</v>
      </c>
      <c r="Q48" s="364">
        <f>+'Yr 1 Operating Statement of Act'!$G50/10</f>
        <v>0</v>
      </c>
      <c r="R48" s="364">
        <f>+'Yr 1 Operating Statement of Act'!$G50/10</f>
        <v>0</v>
      </c>
      <c r="S48" s="365">
        <f>+'Yr 1 Operating Statement of Act'!$G50/10</f>
        <v>0</v>
      </c>
      <c r="T48" s="365">
        <f>SUM(H48:S48)</f>
        <v>0</v>
      </c>
      <c r="U48" s="365">
        <f>+'Yr 1 Operating Statement of Act'!$G50/10</f>
        <v>0</v>
      </c>
      <c r="V48" s="365">
        <f t="shared" ref="V48" si="7">+T48+U48</f>
        <v>0</v>
      </c>
    </row>
    <row r="49" spans="1:22" x14ac:dyDescent="0.2">
      <c r="A49" s="3" t="s">
        <v>440</v>
      </c>
      <c r="B49" s="211">
        <v>24</v>
      </c>
      <c r="C49" s="37"/>
      <c r="D49" s="10"/>
      <c r="E49" s="10" t="s">
        <v>260</v>
      </c>
      <c r="F49" s="19"/>
      <c r="G49" s="159" t="s">
        <v>64</v>
      </c>
      <c r="H49" s="363">
        <f>+'Yr 1 Operating Statement of Act'!G51</f>
        <v>0</v>
      </c>
      <c r="I49" s="364"/>
      <c r="J49" s="364"/>
      <c r="K49" s="364"/>
      <c r="L49" s="364"/>
      <c r="M49" s="364"/>
      <c r="N49" s="364"/>
      <c r="O49" s="364"/>
      <c r="P49" s="364"/>
      <c r="Q49" s="364"/>
      <c r="R49" s="364"/>
      <c r="S49" s="365"/>
      <c r="T49" s="365">
        <f>SUM(H49:S49)</f>
        <v>0</v>
      </c>
      <c r="U49" s="365"/>
      <c r="V49" s="365">
        <f t="shared" si="2"/>
        <v>0</v>
      </c>
    </row>
    <row r="50" spans="1:22" x14ac:dyDescent="0.2">
      <c r="A50" s="3" t="s">
        <v>440</v>
      </c>
      <c r="B50" s="211"/>
      <c r="C50" s="37"/>
      <c r="D50" s="10"/>
      <c r="E50" s="10" t="s">
        <v>278</v>
      </c>
      <c r="F50" s="62"/>
      <c r="G50" s="158"/>
      <c r="H50" s="378"/>
      <c r="I50" s="366"/>
      <c r="J50" s="366"/>
      <c r="K50" s="366"/>
      <c r="L50" s="366"/>
      <c r="M50" s="366"/>
      <c r="N50" s="366"/>
      <c r="O50" s="366"/>
      <c r="P50" s="366"/>
      <c r="Q50" s="366"/>
      <c r="R50" s="366"/>
      <c r="S50" s="379"/>
      <c r="T50" s="379"/>
      <c r="U50" s="379"/>
      <c r="V50" s="379"/>
    </row>
    <row r="51" spans="1:22" x14ac:dyDescent="0.2">
      <c r="A51" s="3" t="s">
        <v>440</v>
      </c>
      <c r="B51" s="211">
        <v>25</v>
      </c>
      <c r="C51" s="37"/>
      <c r="D51" s="10"/>
      <c r="E51" s="10" t="s">
        <v>261</v>
      </c>
      <c r="F51" s="19"/>
      <c r="G51" s="159" t="s">
        <v>65</v>
      </c>
      <c r="H51" s="363">
        <f>+'Yr 1 Operating Statement of Act'!$G53*0</f>
        <v>0</v>
      </c>
      <c r="I51" s="364">
        <f>+'Yr 1 Operating Statement of Act'!$G53*0</f>
        <v>0</v>
      </c>
      <c r="J51" s="364">
        <f>+'Yr 1 Operating Statement of Act'!$G53*0</f>
        <v>0</v>
      </c>
      <c r="K51" s="364">
        <f>+'Yr 1 Operating Statement of Act'!$G53/10</f>
        <v>31400</v>
      </c>
      <c r="L51" s="364">
        <f>+'Yr 1 Operating Statement of Act'!$G53/10</f>
        <v>31400</v>
      </c>
      <c r="M51" s="364">
        <f>+'Yr 1 Operating Statement of Act'!$G53/10</f>
        <v>31400</v>
      </c>
      <c r="N51" s="364">
        <f>+'Yr 1 Operating Statement of Act'!$G53/10</f>
        <v>31400</v>
      </c>
      <c r="O51" s="364">
        <f>+'Yr 1 Operating Statement of Act'!$G53/10</f>
        <v>31400</v>
      </c>
      <c r="P51" s="364">
        <f>+'Yr 1 Operating Statement of Act'!$G53/10</f>
        <v>31400</v>
      </c>
      <c r="Q51" s="364">
        <f>+'Yr 1 Operating Statement of Act'!$G53/10</f>
        <v>31400</v>
      </c>
      <c r="R51" s="364">
        <f>+'Yr 1 Operating Statement of Act'!$G53/10</f>
        <v>31400</v>
      </c>
      <c r="S51" s="365">
        <f>+'Yr 1 Operating Statement of Act'!$G53/10</f>
        <v>31400</v>
      </c>
      <c r="T51" s="365">
        <f>SUM(H51:S51)</f>
        <v>282600</v>
      </c>
      <c r="U51" s="365">
        <f>+'Yr 1 Operating Statement of Act'!$G53/10</f>
        <v>31400</v>
      </c>
      <c r="V51" s="365">
        <f t="shared" ref="V51" si="8">+T51+U51</f>
        <v>314000</v>
      </c>
    </row>
    <row r="52" spans="1:22" x14ac:dyDescent="0.2">
      <c r="A52" s="3" t="s">
        <v>440</v>
      </c>
      <c r="B52" s="211">
        <v>26</v>
      </c>
      <c r="C52" s="37"/>
      <c r="D52" s="10"/>
      <c r="E52" s="10" t="s">
        <v>262</v>
      </c>
      <c r="F52" s="19"/>
      <c r="G52" s="159" t="s">
        <v>66</v>
      </c>
      <c r="H52" s="363">
        <f>+'Yr 1 Operating Statement of Act'!G54</f>
        <v>0</v>
      </c>
      <c r="I52" s="364"/>
      <c r="J52" s="364"/>
      <c r="K52" s="364"/>
      <c r="L52" s="364"/>
      <c r="M52" s="364"/>
      <c r="N52" s="364"/>
      <c r="O52" s="364"/>
      <c r="P52" s="364"/>
      <c r="Q52" s="364"/>
      <c r="R52" s="364"/>
      <c r="S52" s="365"/>
      <c r="T52" s="365">
        <f t="shared" ref="T52:T57" si="9">SUM(H52:S52)</f>
        <v>0</v>
      </c>
      <c r="U52" s="365"/>
      <c r="V52" s="365">
        <f t="shared" si="2"/>
        <v>0</v>
      </c>
    </row>
    <row r="53" spans="1:22" x14ac:dyDescent="0.2">
      <c r="A53" s="3" t="s">
        <v>440</v>
      </c>
      <c r="B53" s="211">
        <v>27</v>
      </c>
      <c r="C53" s="37"/>
      <c r="D53" s="10"/>
      <c r="E53" s="10" t="s">
        <v>279</v>
      </c>
      <c r="F53" s="19"/>
      <c r="G53" s="159" t="s">
        <v>67</v>
      </c>
      <c r="H53" s="363">
        <f>+'Yr 1 Operating Statement of Act'!G55</f>
        <v>0</v>
      </c>
      <c r="I53" s="364"/>
      <c r="J53" s="364"/>
      <c r="K53" s="364"/>
      <c r="L53" s="364"/>
      <c r="M53" s="364"/>
      <c r="N53" s="364"/>
      <c r="O53" s="364"/>
      <c r="P53" s="364"/>
      <c r="Q53" s="364"/>
      <c r="R53" s="364"/>
      <c r="S53" s="365"/>
      <c r="T53" s="365">
        <f t="shared" si="9"/>
        <v>0</v>
      </c>
      <c r="U53" s="365"/>
      <c r="V53" s="365">
        <f t="shared" si="2"/>
        <v>0</v>
      </c>
    </row>
    <row r="54" spans="1:22" x14ac:dyDescent="0.2">
      <c r="A54" s="3" t="s">
        <v>440</v>
      </c>
      <c r="B54" s="211">
        <v>28</v>
      </c>
      <c r="C54" s="37"/>
      <c r="D54" s="10"/>
      <c r="E54" s="10" t="s">
        <v>263</v>
      </c>
      <c r="F54" s="19"/>
      <c r="G54" s="159" t="s">
        <v>68</v>
      </c>
      <c r="H54" s="363">
        <f>+'Yr 1 Operating Statement of Act'!$G56*0</f>
        <v>0</v>
      </c>
      <c r="I54" s="364">
        <f>+'Yr 1 Operating Statement of Act'!$G56*0</f>
        <v>0</v>
      </c>
      <c r="J54" s="364">
        <f>+'Yr 1 Operating Statement of Act'!$G56*0</f>
        <v>0</v>
      </c>
      <c r="K54" s="364">
        <f>+'Yr 1 Operating Statement of Act'!$G56/10</f>
        <v>1000</v>
      </c>
      <c r="L54" s="364">
        <f>+'Yr 1 Operating Statement of Act'!$G56/10</f>
        <v>1000</v>
      </c>
      <c r="M54" s="364">
        <f>+'Yr 1 Operating Statement of Act'!$G56/10</f>
        <v>1000</v>
      </c>
      <c r="N54" s="364">
        <f>+'Yr 1 Operating Statement of Act'!$G56/10</f>
        <v>1000</v>
      </c>
      <c r="O54" s="364">
        <f>+'Yr 1 Operating Statement of Act'!$G56/10</f>
        <v>1000</v>
      </c>
      <c r="P54" s="364">
        <f>+'Yr 1 Operating Statement of Act'!$G56/10</f>
        <v>1000</v>
      </c>
      <c r="Q54" s="364">
        <f>+'Yr 1 Operating Statement of Act'!$G56/10</f>
        <v>1000</v>
      </c>
      <c r="R54" s="364">
        <f>+'Yr 1 Operating Statement of Act'!$G56/10</f>
        <v>1000</v>
      </c>
      <c r="S54" s="365">
        <f>+'Yr 1 Operating Statement of Act'!$G56/10</f>
        <v>1000</v>
      </c>
      <c r="T54" s="365">
        <f>SUM(H54:S54)</f>
        <v>9000</v>
      </c>
      <c r="U54" s="365">
        <f>+'Yr 1 Operating Statement of Act'!$G56/10</f>
        <v>1000</v>
      </c>
      <c r="V54" s="365">
        <f t="shared" ref="V54:V56" si="10">+T54+U54</f>
        <v>10000</v>
      </c>
    </row>
    <row r="55" spans="1:22" x14ac:dyDescent="0.2">
      <c r="A55" s="3" t="s">
        <v>440</v>
      </c>
      <c r="B55" s="211">
        <v>29</v>
      </c>
      <c r="C55" s="37"/>
      <c r="D55" s="10"/>
      <c r="E55" s="10" t="s">
        <v>280</v>
      </c>
      <c r="F55" s="19"/>
      <c r="G55" s="159" t="s">
        <v>69</v>
      </c>
      <c r="H55" s="363">
        <f>+'Yr 1 Operating Statement of Act'!$G57*0</f>
        <v>0</v>
      </c>
      <c r="I55" s="364">
        <f>+'Yr 1 Operating Statement of Act'!$G57*0</f>
        <v>0</v>
      </c>
      <c r="J55" s="364">
        <f>+'Yr 1 Operating Statement of Act'!$G57*0</f>
        <v>0</v>
      </c>
      <c r="K55" s="364">
        <f>+'Yr 1 Operating Statement of Act'!$G57/10</f>
        <v>3350</v>
      </c>
      <c r="L55" s="364">
        <f>+'Yr 1 Operating Statement of Act'!$G57/10</f>
        <v>3350</v>
      </c>
      <c r="M55" s="364">
        <f>+'Yr 1 Operating Statement of Act'!$G57/10</f>
        <v>3350</v>
      </c>
      <c r="N55" s="364">
        <f>+'Yr 1 Operating Statement of Act'!$G57/10</f>
        <v>3350</v>
      </c>
      <c r="O55" s="364">
        <f>+'Yr 1 Operating Statement of Act'!$G57/10</f>
        <v>3350</v>
      </c>
      <c r="P55" s="364">
        <f>+'Yr 1 Operating Statement of Act'!$G57/10</f>
        <v>3350</v>
      </c>
      <c r="Q55" s="364">
        <f>+'Yr 1 Operating Statement of Act'!$G57/10</f>
        <v>3350</v>
      </c>
      <c r="R55" s="364">
        <f>+'Yr 1 Operating Statement of Act'!$G57/10</f>
        <v>3350</v>
      </c>
      <c r="S55" s="365">
        <f>+'Yr 1 Operating Statement of Act'!$G57/10</f>
        <v>3350</v>
      </c>
      <c r="T55" s="365">
        <f>SUM(H55:S55)</f>
        <v>30150</v>
      </c>
      <c r="U55" s="365">
        <f>+'Yr 1 Operating Statement of Act'!$G57/10</f>
        <v>3350</v>
      </c>
      <c r="V55" s="365">
        <f t="shared" si="10"/>
        <v>33500</v>
      </c>
    </row>
    <row r="56" spans="1:22" x14ac:dyDescent="0.2">
      <c r="A56" s="3" t="s">
        <v>440</v>
      </c>
      <c r="B56" s="211">
        <v>30</v>
      </c>
      <c r="C56" s="37"/>
      <c r="D56" s="10"/>
      <c r="E56" s="10" t="s">
        <v>264</v>
      </c>
      <c r="F56" s="19"/>
      <c r="G56" s="159" t="s">
        <v>70</v>
      </c>
      <c r="H56" s="363">
        <f>+'Yr 1 Operating Statement of Act'!$G58*0</f>
        <v>0</v>
      </c>
      <c r="I56" s="364">
        <f>+'Yr 1 Operating Statement of Act'!$G58*0</f>
        <v>0</v>
      </c>
      <c r="J56" s="364">
        <f>+'Yr 1 Operating Statement of Act'!$G58*0</f>
        <v>0</v>
      </c>
      <c r="K56" s="364">
        <f>+'Yr 1 Operating Statement of Act'!$G58/10</f>
        <v>150</v>
      </c>
      <c r="L56" s="364">
        <f>+'Yr 1 Operating Statement of Act'!$G58/10</f>
        <v>150</v>
      </c>
      <c r="M56" s="364">
        <f>+'Yr 1 Operating Statement of Act'!$G58/10</f>
        <v>150</v>
      </c>
      <c r="N56" s="364">
        <f>+'Yr 1 Operating Statement of Act'!$G58/10</f>
        <v>150</v>
      </c>
      <c r="O56" s="364">
        <f>+'Yr 1 Operating Statement of Act'!$G58/10</f>
        <v>150</v>
      </c>
      <c r="P56" s="364">
        <f>+'Yr 1 Operating Statement of Act'!$G58/10</f>
        <v>150</v>
      </c>
      <c r="Q56" s="364">
        <f>+'Yr 1 Operating Statement of Act'!$G58/10</f>
        <v>150</v>
      </c>
      <c r="R56" s="364">
        <f>+'Yr 1 Operating Statement of Act'!$G58/10</f>
        <v>150</v>
      </c>
      <c r="S56" s="365">
        <f>+'Yr 1 Operating Statement of Act'!$G58/10</f>
        <v>150</v>
      </c>
      <c r="T56" s="365">
        <f>SUM(H56:S56)</f>
        <v>1350</v>
      </c>
      <c r="U56" s="365">
        <f>+'Yr 1 Operating Statement of Act'!$G58/10</f>
        <v>150</v>
      </c>
      <c r="V56" s="365">
        <f t="shared" si="10"/>
        <v>1500</v>
      </c>
    </row>
    <row r="57" spans="1:22" x14ac:dyDescent="0.2">
      <c r="A57" s="3" t="s">
        <v>440</v>
      </c>
      <c r="B57" s="211">
        <v>31</v>
      </c>
      <c r="C57" s="37"/>
      <c r="D57" s="10"/>
      <c r="E57" s="10" t="s">
        <v>71</v>
      </c>
      <c r="F57" s="19"/>
      <c r="G57" s="159" t="s">
        <v>72</v>
      </c>
      <c r="H57" s="363">
        <f>+'Yr 1 Operating Statement of Act'!G59</f>
        <v>0</v>
      </c>
      <c r="I57" s="364"/>
      <c r="J57" s="364"/>
      <c r="K57" s="364"/>
      <c r="L57" s="364"/>
      <c r="M57" s="364"/>
      <c r="N57" s="364"/>
      <c r="O57" s="364"/>
      <c r="P57" s="364"/>
      <c r="Q57" s="364"/>
      <c r="R57" s="364"/>
      <c r="S57" s="365"/>
      <c r="T57" s="365">
        <f t="shared" si="9"/>
        <v>0</v>
      </c>
      <c r="U57" s="365"/>
      <c r="V57" s="365">
        <f t="shared" si="2"/>
        <v>0</v>
      </c>
    </row>
    <row r="58" spans="1:22" x14ac:dyDescent="0.2">
      <c r="A58" s="3" t="s">
        <v>440</v>
      </c>
      <c r="B58" s="211"/>
      <c r="C58" s="37"/>
      <c r="D58" s="10" t="s">
        <v>73</v>
      </c>
      <c r="E58" s="10"/>
      <c r="F58" s="74"/>
      <c r="G58" s="160"/>
      <c r="H58" s="378"/>
      <c r="I58" s="366"/>
      <c r="J58" s="366"/>
      <c r="K58" s="366"/>
      <c r="L58" s="366"/>
      <c r="M58" s="366"/>
      <c r="N58" s="366"/>
      <c r="O58" s="366"/>
      <c r="P58" s="366"/>
      <c r="Q58" s="366"/>
      <c r="R58" s="366"/>
      <c r="S58" s="379"/>
      <c r="T58" s="379"/>
      <c r="U58" s="379"/>
      <c r="V58" s="379"/>
    </row>
    <row r="59" spans="1:22" x14ac:dyDescent="0.2">
      <c r="A59" s="3" t="s">
        <v>440</v>
      </c>
      <c r="B59" s="211">
        <v>32</v>
      </c>
      <c r="C59" s="37"/>
      <c r="D59" s="10"/>
      <c r="E59" s="10" t="s">
        <v>74</v>
      </c>
      <c r="F59" s="19"/>
      <c r="G59" s="159" t="s">
        <v>75</v>
      </c>
      <c r="H59" s="363">
        <f>+'Yr 1 Operating Statement of Act'!$G61*0</f>
        <v>0</v>
      </c>
      <c r="I59" s="364">
        <f>+'Yr 1 Operating Statement of Act'!$G61*0</f>
        <v>0</v>
      </c>
      <c r="J59" s="364">
        <f>+'Yr 1 Operating Statement of Act'!$G61*0</f>
        <v>0</v>
      </c>
      <c r="K59" s="364">
        <f>+'Yr 1 Operating Statement of Act'!$G61/10</f>
        <v>2500</v>
      </c>
      <c r="L59" s="364">
        <f>+'Yr 1 Operating Statement of Act'!$G61/10</f>
        <v>2500</v>
      </c>
      <c r="M59" s="364">
        <f>+'Yr 1 Operating Statement of Act'!$G61/10</f>
        <v>2500</v>
      </c>
      <c r="N59" s="364">
        <f>+'Yr 1 Operating Statement of Act'!$G61/10</f>
        <v>2500</v>
      </c>
      <c r="O59" s="364">
        <f>+'Yr 1 Operating Statement of Act'!$G61/10</f>
        <v>2500</v>
      </c>
      <c r="P59" s="364">
        <f>+'Yr 1 Operating Statement of Act'!$G61/10</f>
        <v>2500</v>
      </c>
      <c r="Q59" s="364">
        <f>+'Yr 1 Operating Statement of Act'!$G61/10</f>
        <v>2500</v>
      </c>
      <c r="R59" s="364">
        <f>+'Yr 1 Operating Statement of Act'!$G61/10</f>
        <v>2500</v>
      </c>
      <c r="S59" s="365">
        <f>+'Yr 1 Operating Statement of Act'!$G61/10</f>
        <v>2500</v>
      </c>
      <c r="T59" s="365">
        <f>SUM(H59:S59)</f>
        <v>22500</v>
      </c>
      <c r="U59" s="365">
        <f>+'Yr 1 Operating Statement of Act'!$G61/10</f>
        <v>2500</v>
      </c>
      <c r="V59" s="365">
        <f t="shared" ref="V59" si="11">+T59+U59</f>
        <v>25000</v>
      </c>
    </row>
    <row r="60" spans="1:22" s="95" customFormat="1" ht="14.25" customHeight="1" x14ac:dyDescent="0.2">
      <c r="A60" s="3" t="s">
        <v>440</v>
      </c>
      <c r="B60" s="215">
        <v>33</v>
      </c>
      <c r="C60" s="92"/>
      <c r="D60" s="83" t="s">
        <v>17</v>
      </c>
      <c r="E60" s="83"/>
      <c r="F60" s="93"/>
      <c r="G60" s="161"/>
      <c r="H60" s="416"/>
      <c r="I60" s="369"/>
      <c r="J60" s="369"/>
      <c r="K60" s="369"/>
      <c r="L60" s="369"/>
      <c r="M60" s="369"/>
      <c r="N60" s="369"/>
      <c r="O60" s="369"/>
      <c r="P60" s="369"/>
      <c r="Q60" s="369"/>
      <c r="R60" s="369"/>
      <c r="S60" s="410"/>
      <c r="T60" s="365">
        <f>SUM(H60:S60)</f>
        <v>0</v>
      </c>
      <c r="U60" s="365"/>
      <c r="V60" s="365">
        <f t="shared" si="2"/>
        <v>0</v>
      </c>
    </row>
    <row r="61" spans="1:22" s="95" customFormat="1" ht="14.25" customHeight="1" x14ac:dyDescent="0.2">
      <c r="A61" s="3" t="s">
        <v>440</v>
      </c>
      <c r="B61" s="215">
        <v>34</v>
      </c>
      <c r="C61" s="92"/>
      <c r="D61" s="83"/>
      <c r="E61" s="10" t="s">
        <v>463</v>
      </c>
      <c r="F61" s="93"/>
      <c r="G61" s="159" t="s">
        <v>464</v>
      </c>
      <c r="H61" s="363">
        <f>+'Yr 1 Operating Statement of Act'!G63/12</f>
        <v>0</v>
      </c>
      <c r="I61" s="364">
        <f t="shared" ref="I61" si="12">+H61</f>
        <v>0</v>
      </c>
      <c r="J61" s="364">
        <f t="shared" ref="J61" si="13">+I61</f>
        <v>0</v>
      </c>
      <c r="K61" s="364">
        <f t="shared" ref="K61" si="14">+J61</f>
        <v>0</v>
      </c>
      <c r="L61" s="364">
        <f t="shared" ref="L61" si="15">+K61</f>
        <v>0</v>
      </c>
      <c r="M61" s="364">
        <f t="shared" ref="M61" si="16">+L61</f>
        <v>0</v>
      </c>
      <c r="N61" s="364">
        <f t="shared" ref="N61" si="17">+M61</f>
        <v>0</v>
      </c>
      <c r="O61" s="364">
        <f t="shared" ref="O61" si="18">+N61</f>
        <v>0</v>
      </c>
      <c r="P61" s="364">
        <f t="shared" ref="P61" si="19">+O61</f>
        <v>0</v>
      </c>
      <c r="Q61" s="364">
        <f t="shared" ref="Q61" si="20">+P61</f>
        <v>0</v>
      </c>
      <c r="R61" s="364">
        <f t="shared" ref="R61" si="21">+Q61</f>
        <v>0</v>
      </c>
      <c r="S61" s="365">
        <f t="shared" ref="S61" si="22">+R61</f>
        <v>0</v>
      </c>
      <c r="T61" s="365">
        <f>SUM(H61:S61)</f>
        <v>0</v>
      </c>
      <c r="U61" s="365"/>
      <c r="V61" s="365">
        <f t="shared" ref="V61" si="23">+T61+U61</f>
        <v>0</v>
      </c>
    </row>
    <row r="62" spans="1:22" x14ac:dyDescent="0.2">
      <c r="A62" s="3" t="s">
        <v>440</v>
      </c>
      <c r="B62" s="213">
        <v>35</v>
      </c>
      <c r="C62" s="43"/>
      <c r="D62" s="44"/>
      <c r="E62" s="44"/>
      <c r="F62" s="23"/>
      <c r="G62" s="162"/>
      <c r="H62" s="396"/>
      <c r="I62" s="367"/>
      <c r="J62" s="367"/>
      <c r="K62" s="367"/>
      <c r="L62" s="367"/>
      <c r="M62" s="367"/>
      <c r="N62" s="367"/>
      <c r="O62" s="367"/>
      <c r="P62" s="367"/>
      <c r="Q62" s="367"/>
      <c r="R62" s="367"/>
      <c r="S62" s="397"/>
      <c r="T62" s="365">
        <f>SUM(H62:S62)</f>
        <v>0</v>
      </c>
      <c r="U62" s="365"/>
      <c r="V62" s="365">
        <f t="shared" si="2"/>
        <v>0</v>
      </c>
    </row>
    <row r="63" spans="1:22" x14ac:dyDescent="0.2">
      <c r="A63" s="3" t="s">
        <v>440</v>
      </c>
      <c r="B63" s="216">
        <v>36</v>
      </c>
      <c r="C63" s="48" t="s">
        <v>268</v>
      </c>
      <c r="D63" s="7"/>
      <c r="E63" s="7"/>
      <c r="F63" s="50"/>
      <c r="G63" s="163"/>
      <c r="H63" s="372">
        <f t="shared" ref="H63:U63" si="24">SUM(H41:H62)</f>
        <v>0</v>
      </c>
      <c r="I63" s="373">
        <f t="shared" si="24"/>
        <v>0</v>
      </c>
      <c r="J63" s="373">
        <f t="shared" si="24"/>
        <v>12113.636363636364</v>
      </c>
      <c r="K63" s="373">
        <f t="shared" si="24"/>
        <v>61302.272727272728</v>
      </c>
      <c r="L63" s="373">
        <f t="shared" si="24"/>
        <v>61907.954545454544</v>
      </c>
      <c r="M63" s="373">
        <f t="shared" si="24"/>
        <v>60090.909090909088</v>
      </c>
      <c r="N63" s="373">
        <f t="shared" si="24"/>
        <v>57668.181818181816</v>
      </c>
      <c r="O63" s="373">
        <f t="shared" si="24"/>
        <v>62513.636363636368</v>
      </c>
      <c r="P63" s="373">
        <f t="shared" si="24"/>
        <v>62513.636363636368</v>
      </c>
      <c r="Q63" s="373">
        <f t="shared" si="24"/>
        <v>58273.863636363632</v>
      </c>
      <c r="R63" s="373">
        <f t="shared" si="24"/>
        <v>63119.318181818184</v>
      </c>
      <c r="S63" s="374">
        <f t="shared" si="24"/>
        <v>60696.590909090912</v>
      </c>
      <c r="T63" s="374">
        <f t="shared" si="24"/>
        <v>560200</v>
      </c>
      <c r="U63" s="374">
        <f t="shared" si="24"/>
        <v>50400</v>
      </c>
      <c r="V63" s="374">
        <f t="shared" si="2"/>
        <v>610600</v>
      </c>
    </row>
    <row r="64" spans="1:22" x14ac:dyDescent="0.2">
      <c r="A64" s="3" t="s">
        <v>440</v>
      </c>
      <c r="B64" s="211"/>
      <c r="C64" s="37"/>
      <c r="D64" s="10"/>
      <c r="E64" s="10"/>
      <c r="F64" s="62"/>
      <c r="G64" s="158"/>
      <c r="H64" s="378"/>
      <c r="I64" s="366"/>
      <c r="J64" s="366"/>
      <c r="K64" s="366"/>
      <c r="L64" s="366"/>
      <c r="M64" s="366"/>
      <c r="N64" s="366"/>
      <c r="O64" s="366"/>
      <c r="P64" s="366"/>
      <c r="Q64" s="366"/>
      <c r="R64" s="366"/>
      <c r="S64" s="379"/>
      <c r="T64" s="379"/>
      <c r="U64" s="379"/>
      <c r="V64" s="379"/>
    </row>
    <row r="65" spans="1:22" s="14" customFormat="1" x14ac:dyDescent="0.2">
      <c r="A65" s="3" t="s">
        <v>440</v>
      </c>
      <c r="B65" s="218"/>
      <c r="C65" s="26" t="s">
        <v>284</v>
      </c>
      <c r="D65" s="12"/>
      <c r="E65" s="12"/>
      <c r="F65" s="62"/>
      <c r="G65" s="158"/>
      <c r="H65" s="378"/>
      <c r="I65" s="366"/>
      <c r="J65" s="366"/>
      <c r="K65" s="366"/>
      <c r="L65" s="366"/>
      <c r="M65" s="366"/>
      <c r="N65" s="366"/>
      <c r="O65" s="366"/>
      <c r="P65" s="366"/>
      <c r="Q65" s="366"/>
      <c r="R65" s="366"/>
      <c r="S65" s="379"/>
      <c r="T65" s="379"/>
      <c r="U65" s="379"/>
      <c r="V65" s="379"/>
    </row>
    <row r="66" spans="1:22" s="100" customFormat="1" x14ac:dyDescent="0.2">
      <c r="A66" s="3" t="s">
        <v>440</v>
      </c>
      <c r="B66" s="219">
        <v>37</v>
      </c>
      <c r="C66" s="96"/>
      <c r="D66" s="97"/>
      <c r="E66" s="97"/>
      <c r="F66" s="98"/>
      <c r="G66" s="164" t="s">
        <v>252</v>
      </c>
      <c r="H66" s="363">
        <f>+'Yr 1 Operating Statement of Act'!G68</f>
        <v>0</v>
      </c>
      <c r="I66" s="399"/>
      <c r="J66" s="399"/>
      <c r="K66" s="399"/>
      <c r="L66" s="399"/>
      <c r="M66" s="399"/>
      <c r="N66" s="399"/>
      <c r="O66" s="399"/>
      <c r="P66" s="399"/>
      <c r="Q66" s="399"/>
      <c r="R66" s="399"/>
      <c r="S66" s="400"/>
      <c r="T66" s="365">
        <f>SUM(H66:S66)</f>
        <v>0</v>
      </c>
      <c r="U66" s="365"/>
      <c r="V66" s="365">
        <f t="shared" si="2"/>
        <v>0</v>
      </c>
    </row>
    <row r="67" spans="1:22" ht="15" thickBot="1" x14ac:dyDescent="0.25">
      <c r="A67" s="3" t="s">
        <v>440</v>
      </c>
      <c r="B67" s="213">
        <v>38</v>
      </c>
      <c r="C67" s="43"/>
      <c r="D67" s="44"/>
      <c r="E67" s="44"/>
      <c r="F67" s="134"/>
      <c r="G67" s="165"/>
      <c r="H67" s="415"/>
      <c r="I67" s="411"/>
      <c r="J67" s="411"/>
      <c r="K67" s="411"/>
      <c r="L67" s="411"/>
      <c r="M67" s="411"/>
      <c r="N67" s="411"/>
      <c r="O67" s="411"/>
      <c r="P67" s="411"/>
      <c r="Q67" s="411"/>
      <c r="R67" s="411"/>
      <c r="S67" s="412"/>
      <c r="T67" s="365">
        <f>SUM(H67:S67)</f>
        <v>0</v>
      </c>
      <c r="U67" s="365"/>
      <c r="V67" s="365">
        <f t="shared" si="2"/>
        <v>0</v>
      </c>
    </row>
    <row r="68" spans="1:22" ht="15" thickBot="1" x14ac:dyDescent="0.25">
      <c r="A68" s="3" t="s">
        <v>440</v>
      </c>
      <c r="B68" s="220">
        <v>39</v>
      </c>
      <c r="C68" s="45" t="s">
        <v>271</v>
      </c>
      <c r="D68" s="8"/>
      <c r="E68" s="8"/>
      <c r="F68" s="46"/>
      <c r="G68" s="166"/>
      <c r="H68" s="360">
        <f t="shared" ref="H68:U68" si="25">H19+H31+H63+H66+H67</f>
        <v>175766.37499999997</v>
      </c>
      <c r="I68" s="361">
        <f t="shared" si="25"/>
        <v>175766.37499999997</v>
      </c>
      <c r="J68" s="361">
        <f t="shared" si="25"/>
        <v>187880.01136363632</v>
      </c>
      <c r="K68" s="361">
        <f t="shared" si="25"/>
        <v>251268.64772727271</v>
      </c>
      <c r="L68" s="361">
        <f t="shared" si="25"/>
        <v>251874.32954545453</v>
      </c>
      <c r="M68" s="361">
        <f t="shared" si="25"/>
        <v>250057.28409090906</v>
      </c>
      <c r="N68" s="361">
        <f t="shared" si="25"/>
        <v>247634.55681818179</v>
      </c>
      <c r="O68" s="361">
        <f t="shared" si="25"/>
        <v>252480.01136363635</v>
      </c>
      <c r="P68" s="361">
        <f t="shared" si="25"/>
        <v>252480.01136363635</v>
      </c>
      <c r="Q68" s="361">
        <f t="shared" si="25"/>
        <v>248240.23863636359</v>
      </c>
      <c r="R68" s="361">
        <f t="shared" si="25"/>
        <v>253085.69318181815</v>
      </c>
      <c r="S68" s="420">
        <f t="shared" si="25"/>
        <v>250662.96590909088</v>
      </c>
      <c r="T68" s="421">
        <f t="shared" si="25"/>
        <v>2797196.5</v>
      </c>
      <c r="U68" s="421">
        <f t="shared" si="25"/>
        <v>64600</v>
      </c>
      <c r="V68" s="421">
        <f t="shared" si="2"/>
        <v>2861796.5</v>
      </c>
    </row>
    <row r="69" spans="1:22" x14ac:dyDescent="0.2">
      <c r="A69" s="3" t="s">
        <v>440</v>
      </c>
      <c r="B69" s="221"/>
      <c r="E69" s="178"/>
      <c r="F69" s="179"/>
      <c r="G69" s="179"/>
      <c r="H69" s="413"/>
      <c r="I69" s="413"/>
      <c r="J69" s="413"/>
      <c r="K69" s="414"/>
      <c r="L69" s="413"/>
      <c r="M69" s="413"/>
      <c r="N69" s="413"/>
      <c r="O69" s="413"/>
      <c r="P69" s="413"/>
      <c r="Q69" s="413"/>
      <c r="R69" s="413"/>
      <c r="S69" s="413"/>
      <c r="T69" s="413"/>
      <c r="U69" s="413"/>
      <c r="V69" s="413"/>
    </row>
    <row r="70" spans="1:22" x14ac:dyDescent="0.2">
      <c r="A70" s="3" t="s">
        <v>440</v>
      </c>
      <c r="B70" s="221"/>
      <c r="E70" s="14"/>
      <c r="F70" s="180"/>
      <c r="G70" s="180"/>
      <c r="H70" s="414"/>
      <c r="I70" s="414"/>
      <c r="J70" s="414"/>
      <c r="K70" s="414"/>
      <c r="L70" s="414"/>
      <c r="M70" s="414"/>
      <c r="N70" s="414"/>
      <c r="O70" s="414"/>
      <c r="P70" s="414"/>
      <c r="Q70" s="414"/>
      <c r="R70" s="414"/>
      <c r="S70" s="414"/>
      <c r="T70" s="414"/>
      <c r="U70" s="414"/>
      <c r="V70" s="414"/>
    </row>
    <row r="71" spans="1:22" x14ac:dyDescent="0.2">
      <c r="A71" s="3" t="s">
        <v>440</v>
      </c>
      <c r="B71" s="221"/>
      <c r="E71" s="14"/>
      <c r="F71" s="180"/>
      <c r="G71" s="180"/>
      <c r="H71" s="414"/>
      <c r="I71" s="414"/>
      <c r="J71" s="414"/>
      <c r="K71" s="414"/>
      <c r="L71" s="414"/>
      <c r="M71" s="414"/>
      <c r="N71" s="414"/>
      <c r="O71" s="414"/>
      <c r="P71" s="414"/>
      <c r="Q71" s="414"/>
      <c r="R71" s="414"/>
      <c r="S71" s="414"/>
      <c r="T71" s="414"/>
      <c r="U71" s="414"/>
      <c r="V71" s="414"/>
    </row>
    <row r="72" spans="1:22" s="14" customFormat="1" ht="20.25" customHeight="1" x14ac:dyDescent="0.25">
      <c r="A72" s="3" t="s">
        <v>440</v>
      </c>
      <c r="B72" s="222"/>
      <c r="C72" s="21" t="s">
        <v>273</v>
      </c>
      <c r="F72" s="15"/>
      <c r="G72" s="167"/>
      <c r="H72" s="380"/>
      <c r="I72" s="381"/>
      <c r="J72" s="381"/>
      <c r="K72" s="381"/>
      <c r="L72" s="381"/>
      <c r="M72" s="381"/>
      <c r="N72" s="381"/>
      <c r="O72" s="381"/>
      <c r="P72" s="381"/>
      <c r="Q72" s="381"/>
      <c r="R72" s="381"/>
      <c r="S72" s="382"/>
      <c r="T72" s="382"/>
      <c r="U72" s="382"/>
      <c r="V72" s="382"/>
    </row>
    <row r="73" spans="1:22" x14ac:dyDescent="0.2">
      <c r="A73" s="3" t="s">
        <v>440</v>
      </c>
      <c r="B73" s="222"/>
      <c r="F73" s="15" t="s">
        <v>33</v>
      </c>
      <c r="G73" s="167"/>
      <c r="H73" s="380"/>
      <c r="I73" s="381"/>
      <c r="J73" s="381"/>
      <c r="K73" s="381"/>
      <c r="L73" s="381"/>
      <c r="M73" s="381"/>
      <c r="N73" s="381"/>
      <c r="O73" s="381"/>
      <c r="P73" s="381"/>
      <c r="Q73" s="381"/>
      <c r="R73" s="381"/>
      <c r="S73" s="382"/>
      <c r="T73" s="382"/>
      <c r="U73" s="382"/>
      <c r="V73" s="382"/>
    </row>
    <row r="74" spans="1:22" s="5" customFormat="1" ht="15" x14ac:dyDescent="0.25">
      <c r="A74" s="3" t="s">
        <v>440</v>
      </c>
      <c r="B74" s="223"/>
      <c r="C74" s="55" t="s">
        <v>16</v>
      </c>
      <c r="D74" s="56"/>
      <c r="E74" s="56"/>
      <c r="F74" s="64" t="s">
        <v>33</v>
      </c>
      <c r="G74" s="168"/>
      <c r="H74" s="383"/>
      <c r="I74" s="384"/>
      <c r="J74" s="384"/>
      <c r="K74" s="384"/>
      <c r="L74" s="384"/>
      <c r="M74" s="384"/>
      <c r="N74" s="384"/>
      <c r="O74" s="384"/>
      <c r="P74" s="384"/>
      <c r="Q74" s="384"/>
      <c r="R74" s="384"/>
      <c r="S74" s="385"/>
      <c r="T74" s="385"/>
      <c r="U74" s="385"/>
      <c r="V74" s="379"/>
    </row>
    <row r="75" spans="1:22" s="5" customFormat="1" ht="15" x14ac:dyDescent="0.25">
      <c r="A75" s="3" t="s">
        <v>440</v>
      </c>
      <c r="B75" s="224"/>
      <c r="C75" s="90" t="s">
        <v>274</v>
      </c>
      <c r="D75" s="57"/>
      <c r="E75" s="57"/>
      <c r="F75" s="66"/>
      <c r="G75" s="169"/>
      <c r="H75" s="417"/>
      <c r="I75" s="418"/>
      <c r="J75" s="418"/>
      <c r="K75" s="418"/>
      <c r="L75" s="418"/>
      <c r="M75" s="418"/>
      <c r="N75" s="418"/>
      <c r="O75" s="418"/>
      <c r="P75" s="418"/>
      <c r="Q75" s="418"/>
      <c r="R75" s="418"/>
      <c r="S75" s="419"/>
      <c r="T75" s="419"/>
      <c r="U75" s="419"/>
      <c r="V75" s="379"/>
    </row>
    <row r="76" spans="1:22" x14ac:dyDescent="0.2">
      <c r="A76" s="3" t="s">
        <v>440</v>
      </c>
      <c r="B76" s="225"/>
      <c r="C76" s="37"/>
      <c r="D76" s="10" t="s">
        <v>76</v>
      </c>
      <c r="E76" s="10"/>
      <c r="F76" s="62"/>
      <c r="G76" s="158"/>
      <c r="H76" s="378"/>
      <c r="I76" s="366"/>
      <c r="J76" s="366"/>
      <c r="K76" s="366"/>
      <c r="L76" s="366"/>
      <c r="M76" s="366"/>
      <c r="N76" s="366"/>
      <c r="O76" s="366"/>
      <c r="P76" s="366"/>
      <c r="Q76" s="366"/>
      <c r="R76" s="366"/>
      <c r="S76" s="379"/>
      <c r="T76" s="379"/>
      <c r="U76" s="379"/>
      <c r="V76" s="379"/>
    </row>
    <row r="77" spans="1:22" x14ac:dyDescent="0.2">
      <c r="A77" s="3" t="s">
        <v>440</v>
      </c>
      <c r="B77" s="225">
        <v>40</v>
      </c>
      <c r="C77" s="37"/>
      <c r="D77" s="10"/>
      <c r="E77" s="10" t="s">
        <v>117</v>
      </c>
      <c r="F77" s="19">
        <v>112</v>
      </c>
      <c r="G77" s="159">
        <v>1100</v>
      </c>
      <c r="H77" s="363">
        <f>+'Yr 1 Operating Statement of Act'!$G79/12</f>
        <v>30208.333333333332</v>
      </c>
      <c r="I77" s="364">
        <f>+'Yr 1 Operating Statement of Act'!$G79/12</f>
        <v>30208.333333333332</v>
      </c>
      <c r="J77" s="364">
        <f>+'Yr 1 Operating Statement of Act'!$G79/12</f>
        <v>30208.333333333332</v>
      </c>
      <c r="K77" s="364">
        <f>+'Yr 1 Operating Statement of Act'!$G79/12</f>
        <v>30208.333333333332</v>
      </c>
      <c r="L77" s="364">
        <f>+'Yr 1 Operating Statement of Act'!$G79/12</f>
        <v>30208.333333333332</v>
      </c>
      <c r="M77" s="364">
        <f>+'Yr 1 Operating Statement of Act'!$G79/12</f>
        <v>30208.333333333332</v>
      </c>
      <c r="N77" s="364">
        <f>+'Yr 1 Operating Statement of Act'!$G79/12</f>
        <v>30208.333333333332</v>
      </c>
      <c r="O77" s="364">
        <f>+'Yr 1 Operating Statement of Act'!$G79/12</f>
        <v>30208.333333333332</v>
      </c>
      <c r="P77" s="364">
        <f>+'Yr 1 Operating Statement of Act'!$G79/12</f>
        <v>30208.333333333332</v>
      </c>
      <c r="Q77" s="364">
        <f>+'Yr 1 Operating Statement of Act'!$G79/12</f>
        <v>30208.333333333332</v>
      </c>
      <c r="R77" s="364">
        <f>+'Yr 1 Operating Statement of Act'!$G79/12</f>
        <v>30208.333333333332</v>
      </c>
      <c r="S77" s="365">
        <f>+'Yr 1 Operating Statement of Act'!$G79/12</f>
        <v>30208.333333333332</v>
      </c>
      <c r="T77" s="365">
        <f t="shared" ref="T77:T82" si="26">SUM(H77:S77)</f>
        <v>362499.99999999994</v>
      </c>
      <c r="U77" s="365"/>
      <c r="V77" s="365">
        <f t="shared" ref="V77:V137" si="27">+T77+U77</f>
        <v>362499.99999999994</v>
      </c>
    </row>
    <row r="78" spans="1:22" x14ac:dyDescent="0.2">
      <c r="A78" s="3" t="s">
        <v>440</v>
      </c>
      <c r="B78" s="225">
        <v>41</v>
      </c>
      <c r="C78" s="37"/>
      <c r="D78" s="10"/>
      <c r="E78" s="10" t="s">
        <v>78</v>
      </c>
      <c r="F78" s="19" t="s">
        <v>79</v>
      </c>
      <c r="G78" s="159" t="s">
        <v>80</v>
      </c>
      <c r="H78" s="363">
        <f>+'Yr 1 Operating Statement of Act'!G80</f>
        <v>0</v>
      </c>
      <c r="I78" s="364"/>
      <c r="J78" s="364"/>
      <c r="K78" s="364"/>
      <c r="L78" s="364"/>
      <c r="M78" s="364"/>
      <c r="N78" s="364"/>
      <c r="O78" s="364"/>
      <c r="P78" s="364"/>
      <c r="Q78" s="364"/>
      <c r="R78" s="364"/>
      <c r="S78" s="365"/>
      <c r="T78" s="365">
        <f t="shared" si="26"/>
        <v>0</v>
      </c>
      <c r="U78" s="365"/>
      <c r="V78" s="365">
        <f t="shared" si="27"/>
        <v>0</v>
      </c>
    </row>
    <row r="79" spans="1:22" x14ac:dyDescent="0.2">
      <c r="A79" s="3" t="s">
        <v>440</v>
      </c>
      <c r="B79" s="225">
        <v>42</v>
      </c>
      <c r="C79" s="37"/>
      <c r="D79" s="10"/>
      <c r="E79" s="10" t="s">
        <v>81</v>
      </c>
      <c r="F79" s="19" t="s">
        <v>82</v>
      </c>
      <c r="G79" s="159" t="s">
        <v>80</v>
      </c>
      <c r="H79" s="363">
        <f>+'Yr 1 Operating Statement of Act'!G81</f>
        <v>0</v>
      </c>
      <c r="I79" s="364"/>
      <c r="J79" s="364"/>
      <c r="K79" s="364"/>
      <c r="L79" s="364"/>
      <c r="M79" s="364"/>
      <c r="N79" s="364"/>
      <c r="O79" s="364"/>
      <c r="P79" s="364"/>
      <c r="Q79" s="364"/>
      <c r="R79" s="364"/>
      <c r="S79" s="365"/>
      <c r="T79" s="365">
        <f t="shared" si="26"/>
        <v>0</v>
      </c>
      <c r="U79" s="365"/>
      <c r="V79" s="365">
        <f t="shared" si="27"/>
        <v>0</v>
      </c>
    </row>
    <row r="80" spans="1:22" x14ac:dyDescent="0.2">
      <c r="A80" s="3" t="s">
        <v>440</v>
      </c>
      <c r="B80" s="225">
        <v>43</v>
      </c>
      <c r="C80" s="37"/>
      <c r="D80" s="10" t="s">
        <v>83</v>
      </c>
      <c r="E80" s="10"/>
      <c r="F80" s="19" t="s">
        <v>84</v>
      </c>
      <c r="G80" s="159" t="s">
        <v>80</v>
      </c>
      <c r="H80" s="363">
        <f>+'Yr 1 Operating Statement of Act'!$G82*0.2</f>
        <v>5735.4838709677424</v>
      </c>
      <c r="I80" s="364">
        <f>+'Yr 1 Operating Statement of Act'!$G82*0.2</f>
        <v>5735.4838709677424</v>
      </c>
      <c r="J80" s="364">
        <f>+'Yr 1 Operating Statement of Act'!$G82*0.1</f>
        <v>2867.7419354838712</v>
      </c>
      <c r="K80" s="364">
        <f>+'Yr 1 Operating Statement of Act'!$G82*0.5/9</f>
        <v>1593.1899641577063</v>
      </c>
      <c r="L80" s="364">
        <f>+'Yr 1 Operating Statement of Act'!$G82*0.5/9</f>
        <v>1593.1899641577063</v>
      </c>
      <c r="M80" s="364">
        <f>+'Yr 1 Operating Statement of Act'!$G82*0.5/9</f>
        <v>1593.1899641577063</v>
      </c>
      <c r="N80" s="364">
        <f>+'Yr 1 Operating Statement of Act'!$G82*0.5/9</f>
        <v>1593.1899641577063</v>
      </c>
      <c r="O80" s="364">
        <f>+'Yr 1 Operating Statement of Act'!$G82*0.5/9</f>
        <v>1593.1899641577063</v>
      </c>
      <c r="P80" s="364">
        <f>+'Yr 1 Operating Statement of Act'!$G82*0.5/9</f>
        <v>1593.1899641577063</v>
      </c>
      <c r="Q80" s="364">
        <f>+'Yr 1 Operating Statement of Act'!$G82*0.5/9</f>
        <v>1593.1899641577063</v>
      </c>
      <c r="R80" s="364">
        <f>+'Yr 1 Operating Statement of Act'!$G82*0.5/9</f>
        <v>1593.1899641577063</v>
      </c>
      <c r="S80" s="365">
        <f>+'Yr 1 Operating Statement of Act'!$G82*0.5/9</f>
        <v>1593.1899641577063</v>
      </c>
      <c r="T80" s="365">
        <f t="shared" si="26"/>
        <v>28677.419354838719</v>
      </c>
      <c r="U80" s="365"/>
      <c r="V80" s="365">
        <f t="shared" si="27"/>
        <v>28677.419354838719</v>
      </c>
    </row>
    <row r="81" spans="1:22" x14ac:dyDescent="0.2">
      <c r="A81" s="3" t="s">
        <v>440</v>
      </c>
      <c r="B81" s="225">
        <v>44</v>
      </c>
      <c r="C81" s="37"/>
      <c r="D81" s="10" t="s">
        <v>85</v>
      </c>
      <c r="E81" s="10"/>
      <c r="F81" s="19" t="s">
        <v>86</v>
      </c>
      <c r="G81" s="159" t="s">
        <v>80</v>
      </c>
      <c r="H81" s="363">
        <f>+'Yr 1 Operating Statement of Act'!G83</f>
        <v>0</v>
      </c>
      <c r="I81" s="364"/>
      <c r="J81" s="364"/>
      <c r="K81" s="364"/>
      <c r="L81" s="364"/>
      <c r="M81" s="364"/>
      <c r="N81" s="364"/>
      <c r="O81" s="364"/>
      <c r="P81" s="364"/>
      <c r="Q81" s="364"/>
      <c r="R81" s="364"/>
      <c r="S81" s="365"/>
      <c r="T81" s="365">
        <f t="shared" si="26"/>
        <v>0</v>
      </c>
      <c r="U81" s="365"/>
      <c r="V81" s="365">
        <f t="shared" si="27"/>
        <v>0</v>
      </c>
    </row>
    <row r="82" spans="1:22" x14ac:dyDescent="0.2">
      <c r="A82" s="3" t="s">
        <v>440</v>
      </c>
      <c r="B82" s="225">
        <v>45</v>
      </c>
      <c r="C82" s="37"/>
      <c r="D82" s="10" t="s">
        <v>87</v>
      </c>
      <c r="E82" s="10"/>
      <c r="F82" s="19" t="s">
        <v>88</v>
      </c>
      <c r="G82" s="159" t="s">
        <v>80</v>
      </c>
      <c r="H82" s="363">
        <f>+'Yr 1 Operating Statement of Act'!$G84/12</f>
        <v>416.66666666666669</v>
      </c>
      <c r="I82" s="364">
        <f>+'Yr 1 Operating Statement of Act'!$G84/12</f>
        <v>416.66666666666669</v>
      </c>
      <c r="J82" s="364">
        <f>+'Yr 1 Operating Statement of Act'!$G84/12</f>
        <v>416.66666666666669</v>
      </c>
      <c r="K82" s="364">
        <f>+'Yr 1 Operating Statement of Act'!$G84/12</f>
        <v>416.66666666666669</v>
      </c>
      <c r="L82" s="364">
        <f>+'Yr 1 Operating Statement of Act'!$G84/12</f>
        <v>416.66666666666669</v>
      </c>
      <c r="M82" s="364">
        <f>+'Yr 1 Operating Statement of Act'!$G84/12</f>
        <v>416.66666666666669</v>
      </c>
      <c r="N82" s="364">
        <f>+'Yr 1 Operating Statement of Act'!$G84/12</f>
        <v>416.66666666666669</v>
      </c>
      <c r="O82" s="364">
        <f>+'Yr 1 Operating Statement of Act'!$G84/12</f>
        <v>416.66666666666669</v>
      </c>
      <c r="P82" s="364">
        <f>+'Yr 1 Operating Statement of Act'!$G84/12</f>
        <v>416.66666666666669</v>
      </c>
      <c r="Q82" s="364">
        <f>+'Yr 1 Operating Statement of Act'!$G84/12</f>
        <v>416.66666666666669</v>
      </c>
      <c r="R82" s="364">
        <f>+'Yr 1 Operating Statement of Act'!$G84/12</f>
        <v>416.66666666666669</v>
      </c>
      <c r="S82" s="365">
        <f>+'Yr 1 Operating Statement of Act'!$G84/12</f>
        <v>416.66666666666669</v>
      </c>
      <c r="T82" s="365">
        <f t="shared" si="26"/>
        <v>5000</v>
      </c>
      <c r="U82" s="365"/>
      <c r="V82" s="365">
        <f t="shared" si="27"/>
        <v>5000</v>
      </c>
    </row>
    <row r="83" spans="1:22" x14ac:dyDescent="0.2">
      <c r="A83" s="3" t="s">
        <v>440</v>
      </c>
      <c r="B83" s="225"/>
      <c r="C83" s="37"/>
      <c r="D83" s="10" t="s">
        <v>89</v>
      </c>
      <c r="E83" s="10"/>
      <c r="F83" s="62"/>
      <c r="G83" s="158"/>
      <c r="H83" s="378"/>
      <c r="I83" s="366"/>
      <c r="J83" s="366"/>
      <c r="K83" s="366"/>
      <c r="L83" s="366"/>
      <c r="M83" s="366"/>
      <c r="N83" s="366"/>
      <c r="O83" s="366"/>
      <c r="P83" s="366"/>
      <c r="Q83" s="366"/>
      <c r="R83" s="366"/>
      <c r="S83" s="379"/>
      <c r="T83" s="379"/>
      <c r="U83" s="379"/>
      <c r="V83" s="379"/>
    </row>
    <row r="84" spans="1:22" x14ac:dyDescent="0.2">
      <c r="A84" s="3" t="s">
        <v>440</v>
      </c>
      <c r="B84" s="225">
        <v>46</v>
      </c>
      <c r="C84" s="37"/>
      <c r="D84" s="10"/>
      <c r="E84" s="10" t="s">
        <v>6</v>
      </c>
      <c r="F84" s="19" t="s">
        <v>90</v>
      </c>
      <c r="G84" s="159" t="s">
        <v>80</v>
      </c>
      <c r="H84" s="363">
        <f>+'Yr 1 Operating Statement of Act'!$G86*0.2</f>
        <v>8781.6129032258068</v>
      </c>
      <c r="I84" s="364">
        <f>+'Yr 1 Operating Statement of Act'!$G86*0.15</f>
        <v>6586.2096774193542</v>
      </c>
      <c r="J84" s="364">
        <f>+'Yr 1 Operating Statement of Act'!$G86*0.05</f>
        <v>2195.4032258064517</v>
      </c>
      <c r="K84" s="364">
        <f>+'Yr 1 Operating Statement of Act'!$G86*0.05</f>
        <v>2195.4032258064517</v>
      </c>
      <c r="L84" s="364">
        <f>+'Yr 1 Operating Statement of Act'!$G86*0.05</f>
        <v>2195.4032258064517</v>
      </c>
      <c r="M84" s="364">
        <f>+'Yr 1 Operating Statement of Act'!$G86*0.05</f>
        <v>2195.4032258064517</v>
      </c>
      <c r="N84" s="364">
        <f>+'Yr 1 Operating Statement of Act'!$G86*0.05</f>
        <v>2195.4032258064517</v>
      </c>
      <c r="O84" s="364">
        <f>+'Yr 1 Operating Statement of Act'!$G86*0.05</f>
        <v>2195.4032258064517</v>
      </c>
      <c r="P84" s="364">
        <f>+'Yr 1 Operating Statement of Act'!$G86*0.05</f>
        <v>2195.4032258064517</v>
      </c>
      <c r="Q84" s="364">
        <f>+'Yr 1 Operating Statement of Act'!$G86*0.05</f>
        <v>2195.4032258064517</v>
      </c>
      <c r="R84" s="364">
        <f>+'Yr 1 Operating Statement of Act'!$G86*0.05</f>
        <v>2195.4032258064517</v>
      </c>
      <c r="S84" s="365">
        <f>+'Yr 1 Operating Statement of Act'!$G86*0.1</f>
        <v>4390.8064516129034</v>
      </c>
      <c r="T84" s="365">
        <f t="shared" ref="T84:T97" si="28">SUM(H84:S84)</f>
        <v>39517.258064516129</v>
      </c>
      <c r="U84" s="365">
        <f>+'Yr 1 Operating Statement of Act'!$G86*0.1</f>
        <v>4390.8064516129034</v>
      </c>
      <c r="V84" s="365">
        <f t="shared" si="27"/>
        <v>43908.06451612903</v>
      </c>
    </row>
    <row r="85" spans="1:22" x14ac:dyDescent="0.2">
      <c r="A85" s="3" t="s">
        <v>440</v>
      </c>
      <c r="B85" s="225">
        <v>47</v>
      </c>
      <c r="C85" s="37"/>
      <c r="D85" s="10"/>
      <c r="E85" s="10" t="s">
        <v>91</v>
      </c>
      <c r="F85" s="19" t="s">
        <v>92</v>
      </c>
      <c r="G85" s="159" t="s">
        <v>80</v>
      </c>
      <c r="H85" s="363">
        <f>+'Yr 1 Operating Statement of Act'!$G87*0.5</f>
        <v>3104.8387096774195</v>
      </c>
      <c r="I85" s="364">
        <f>+'Yr 1 Operating Statement of Act'!$G87*0</f>
        <v>0</v>
      </c>
      <c r="J85" s="364">
        <f>+'Yr 1 Operating Statement of Act'!$G87*0</f>
        <v>0</v>
      </c>
      <c r="K85" s="364">
        <f>+'Yr 1 Operating Statement of Act'!$G87*0</f>
        <v>0</v>
      </c>
      <c r="L85" s="364">
        <f>+'Yr 1 Operating Statement of Act'!$G87*0</f>
        <v>0</v>
      </c>
      <c r="M85" s="364">
        <v>0</v>
      </c>
      <c r="N85" s="364">
        <f>+'Yr 1 Operating Statement of Act'!$G87*0.2</f>
        <v>1241.9354838709678</v>
      </c>
      <c r="O85" s="364">
        <f>+'Yr 1 Operating Statement of Act'!$G87*0</f>
        <v>0</v>
      </c>
      <c r="P85" s="364">
        <f>+'Yr 1 Operating Statement of Act'!$G87*0</f>
        <v>0</v>
      </c>
      <c r="Q85" s="364">
        <f>+'Yr 1 Operating Statement of Act'!$G87*0</f>
        <v>0</v>
      </c>
      <c r="R85" s="364">
        <f>+'Yr 1 Operating Statement of Act'!$G87*0</f>
        <v>0</v>
      </c>
      <c r="S85" s="365">
        <f>+'Yr 1 Operating Statement of Act'!$G87*0</f>
        <v>0</v>
      </c>
      <c r="T85" s="365">
        <f t="shared" ref="T85:T86" si="29">SUM(H85:S85)</f>
        <v>4346.7741935483873</v>
      </c>
      <c r="U85" s="365">
        <f>+'Yr 1 Operating Statement of Act'!$G87*0.3</f>
        <v>1862.9032258064517</v>
      </c>
      <c r="V85" s="365">
        <f t="shared" si="27"/>
        <v>6209.677419354839</v>
      </c>
    </row>
    <row r="86" spans="1:22" x14ac:dyDescent="0.2">
      <c r="A86" s="3" t="s">
        <v>440</v>
      </c>
      <c r="B86" s="225">
        <v>48</v>
      </c>
      <c r="C86" s="37"/>
      <c r="D86" s="10" t="s">
        <v>93</v>
      </c>
      <c r="E86" s="10"/>
      <c r="F86" s="19" t="s">
        <v>94</v>
      </c>
      <c r="G86" s="159" t="s">
        <v>80</v>
      </c>
      <c r="H86" s="363">
        <f>+'Yr 1 Operating Statement of Act'!$G88*0.5</f>
        <v>0</v>
      </c>
      <c r="I86" s="364">
        <f>+'Yr 1 Operating Statement of Act'!$G88*0</f>
        <v>0</v>
      </c>
      <c r="J86" s="364">
        <f>+'Yr 1 Operating Statement of Act'!$G88*0</f>
        <v>0</v>
      </c>
      <c r="K86" s="364">
        <f>+'Yr 1 Operating Statement of Act'!$G88*0</f>
        <v>0</v>
      </c>
      <c r="L86" s="364">
        <f>+'Yr 1 Operating Statement of Act'!$G88*0</f>
        <v>0</v>
      </c>
      <c r="M86" s="364">
        <v>0</v>
      </c>
      <c r="N86" s="364">
        <f>+'Yr 1 Operating Statement of Act'!$G88*0.2</f>
        <v>0</v>
      </c>
      <c r="O86" s="364">
        <f>+'Yr 1 Operating Statement of Act'!$G88*0</f>
        <v>0</v>
      </c>
      <c r="P86" s="364">
        <f>+'Yr 1 Operating Statement of Act'!$G88*0</f>
        <v>0</v>
      </c>
      <c r="Q86" s="364">
        <f>+'Yr 1 Operating Statement of Act'!$G88*0</f>
        <v>0</v>
      </c>
      <c r="R86" s="364">
        <f>+'Yr 1 Operating Statement of Act'!$G88*0</f>
        <v>0</v>
      </c>
      <c r="S86" s="365">
        <f>+'Yr 1 Operating Statement of Act'!$G88*0</f>
        <v>0</v>
      </c>
      <c r="T86" s="365">
        <f t="shared" si="29"/>
        <v>0</v>
      </c>
      <c r="U86" s="365">
        <f>+'Yr 1 Operating Statement of Act'!$G88*0.3</f>
        <v>0</v>
      </c>
      <c r="V86" s="365">
        <f t="shared" si="27"/>
        <v>0</v>
      </c>
    </row>
    <row r="87" spans="1:22" x14ac:dyDescent="0.2">
      <c r="A87" s="3" t="s">
        <v>440</v>
      </c>
      <c r="B87" s="225">
        <v>49</v>
      </c>
      <c r="C87" s="37"/>
      <c r="D87" s="10" t="s">
        <v>95</v>
      </c>
      <c r="E87" s="10"/>
      <c r="F87" s="19" t="s">
        <v>96</v>
      </c>
      <c r="G87" s="159" t="s">
        <v>80</v>
      </c>
      <c r="H87" s="363">
        <f>+'Yr 1 Operating Statement of Act'!G89</f>
        <v>0</v>
      </c>
      <c r="I87" s="364"/>
      <c r="J87" s="364"/>
      <c r="K87" s="364"/>
      <c r="L87" s="364"/>
      <c r="M87" s="364"/>
      <c r="N87" s="364"/>
      <c r="O87" s="364"/>
      <c r="P87" s="364"/>
      <c r="Q87" s="364"/>
      <c r="R87" s="364"/>
      <c r="S87" s="365"/>
      <c r="T87" s="365">
        <f t="shared" si="28"/>
        <v>0</v>
      </c>
      <c r="U87" s="365"/>
      <c r="V87" s="365">
        <f t="shared" si="27"/>
        <v>0</v>
      </c>
    </row>
    <row r="88" spans="1:22" x14ac:dyDescent="0.2">
      <c r="A88" s="3" t="s">
        <v>440</v>
      </c>
      <c r="B88" s="225">
        <v>50</v>
      </c>
      <c r="C88" s="37"/>
      <c r="D88" s="10" t="s">
        <v>295</v>
      </c>
      <c r="E88" s="10"/>
      <c r="F88" s="19" t="s">
        <v>97</v>
      </c>
      <c r="G88" s="159" t="s">
        <v>80</v>
      </c>
      <c r="H88" s="363">
        <f>+'Yr 1 Operating Statement of Act'!$G90/12</f>
        <v>2137.9444672126292</v>
      </c>
      <c r="I88" s="364">
        <f>+'Yr 1 Operating Statement of Act'!$G90/12</f>
        <v>2137.9444672126292</v>
      </c>
      <c r="J88" s="364">
        <f>+'Yr 1 Operating Statement of Act'!$G90/12</f>
        <v>2137.9444672126292</v>
      </c>
      <c r="K88" s="364">
        <f>+'Yr 1 Operating Statement of Act'!$G90/12</f>
        <v>2137.9444672126292</v>
      </c>
      <c r="L88" s="364">
        <f>+'Yr 1 Operating Statement of Act'!$G90/12</f>
        <v>2137.9444672126292</v>
      </c>
      <c r="M88" s="364">
        <f>+'Yr 1 Operating Statement of Act'!$G90/12</f>
        <v>2137.9444672126292</v>
      </c>
      <c r="N88" s="364">
        <f>+'Yr 1 Operating Statement of Act'!$G90/12</f>
        <v>2137.9444672126292</v>
      </c>
      <c r="O88" s="364">
        <f>+'Yr 1 Operating Statement of Act'!$G90/12</f>
        <v>2137.9444672126292</v>
      </c>
      <c r="P88" s="364">
        <f>+'Yr 1 Operating Statement of Act'!$G90/12</f>
        <v>2137.9444672126292</v>
      </c>
      <c r="Q88" s="364">
        <f>+'Yr 1 Operating Statement of Act'!$G90/12</f>
        <v>2137.9444672126292</v>
      </c>
      <c r="R88" s="364">
        <f>+'Yr 1 Operating Statement of Act'!$G90/12</f>
        <v>2137.9444672126292</v>
      </c>
      <c r="S88" s="365">
        <f>+'Yr 1 Operating Statement of Act'!$G90/12</f>
        <v>2137.9444672126292</v>
      </c>
      <c r="T88" s="365">
        <f t="shared" si="28"/>
        <v>25655.333606551558</v>
      </c>
      <c r="U88" s="365"/>
      <c r="V88" s="365">
        <f t="shared" si="27"/>
        <v>25655.333606551558</v>
      </c>
    </row>
    <row r="89" spans="1:22" x14ac:dyDescent="0.2">
      <c r="A89" s="3" t="s">
        <v>440</v>
      </c>
      <c r="B89" s="225">
        <v>51</v>
      </c>
      <c r="C89" s="37"/>
      <c r="D89" s="10" t="s">
        <v>98</v>
      </c>
      <c r="E89" s="10"/>
      <c r="F89" s="19" t="s">
        <v>99</v>
      </c>
      <c r="G89" s="159" t="s">
        <v>80</v>
      </c>
      <c r="H89" s="363">
        <f>+'Yr 1 Operating Statement of Act'!$G91/12</f>
        <v>1872.9166666666667</v>
      </c>
      <c r="I89" s="364">
        <f>+'Yr 1 Operating Statement of Act'!$G91/12</f>
        <v>1872.9166666666667</v>
      </c>
      <c r="J89" s="364">
        <f>+'Yr 1 Operating Statement of Act'!$G91/12</f>
        <v>1872.9166666666667</v>
      </c>
      <c r="K89" s="364">
        <f>+'Yr 1 Operating Statement of Act'!$G91/12</f>
        <v>1872.9166666666667</v>
      </c>
      <c r="L89" s="364">
        <f>+'Yr 1 Operating Statement of Act'!$G91/12</f>
        <v>1872.9166666666667</v>
      </c>
      <c r="M89" s="364">
        <f>+'Yr 1 Operating Statement of Act'!$G91/12</f>
        <v>1872.9166666666667</v>
      </c>
      <c r="N89" s="364">
        <f>+'Yr 1 Operating Statement of Act'!$G91/12</f>
        <v>1872.9166666666667</v>
      </c>
      <c r="O89" s="364">
        <f>+'Yr 1 Operating Statement of Act'!$G91/12</f>
        <v>1872.9166666666667</v>
      </c>
      <c r="P89" s="364">
        <f>+'Yr 1 Operating Statement of Act'!$G91/12</f>
        <v>1872.9166666666667</v>
      </c>
      <c r="Q89" s="364">
        <f>+'Yr 1 Operating Statement of Act'!$G91/12</f>
        <v>1872.9166666666667</v>
      </c>
      <c r="R89" s="364">
        <f>+'Yr 1 Operating Statement of Act'!$G91/12</f>
        <v>1872.9166666666667</v>
      </c>
      <c r="S89" s="365">
        <f>+'Yr 1 Operating Statement of Act'!$G91/12</f>
        <v>1872.9166666666667</v>
      </c>
      <c r="T89" s="365">
        <f t="shared" si="28"/>
        <v>22475.000000000004</v>
      </c>
      <c r="U89" s="365"/>
      <c r="V89" s="365">
        <f t="shared" si="27"/>
        <v>22475.000000000004</v>
      </c>
    </row>
    <row r="90" spans="1:22" x14ac:dyDescent="0.2">
      <c r="A90" s="3" t="s">
        <v>440</v>
      </c>
      <c r="B90" s="225">
        <v>52</v>
      </c>
      <c r="C90" s="37"/>
      <c r="D90" s="10" t="s">
        <v>100</v>
      </c>
      <c r="E90" s="10"/>
      <c r="F90" s="19" t="s">
        <v>101</v>
      </c>
      <c r="G90" s="159" t="s">
        <v>80</v>
      </c>
      <c r="H90" s="363">
        <f>+'Yr 1 Operating Statement of Act'!$G92/12</f>
        <v>438.02083333333331</v>
      </c>
      <c r="I90" s="364">
        <f>+'Yr 1 Operating Statement of Act'!$G92/12</f>
        <v>438.02083333333331</v>
      </c>
      <c r="J90" s="364">
        <f>+'Yr 1 Operating Statement of Act'!$G92/12</f>
        <v>438.02083333333331</v>
      </c>
      <c r="K90" s="364">
        <f>+'Yr 1 Operating Statement of Act'!$G92/12</f>
        <v>438.02083333333331</v>
      </c>
      <c r="L90" s="364">
        <f>+'Yr 1 Operating Statement of Act'!$G92/12</f>
        <v>438.02083333333331</v>
      </c>
      <c r="M90" s="364">
        <f>+'Yr 1 Operating Statement of Act'!$G92/12</f>
        <v>438.02083333333331</v>
      </c>
      <c r="N90" s="364">
        <f>+'Yr 1 Operating Statement of Act'!$G92/12</f>
        <v>438.02083333333331</v>
      </c>
      <c r="O90" s="364">
        <f>+'Yr 1 Operating Statement of Act'!$G92/12</f>
        <v>438.02083333333331</v>
      </c>
      <c r="P90" s="364">
        <f>+'Yr 1 Operating Statement of Act'!$G92/12</f>
        <v>438.02083333333331</v>
      </c>
      <c r="Q90" s="364">
        <f>+'Yr 1 Operating Statement of Act'!$G92/12</f>
        <v>438.02083333333331</v>
      </c>
      <c r="R90" s="364">
        <f>+'Yr 1 Operating Statement of Act'!$G92/12</f>
        <v>438.02083333333331</v>
      </c>
      <c r="S90" s="365">
        <f>+'Yr 1 Operating Statement of Act'!$G92/12</f>
        <v>438.02083333333331</v>
      </c>
      <c r="T90" s="365">
        <f t="shared" si="28"/>
        <v>5256.25</v>
      </c>
      <c r="U90" s="365"/>
      <c r="V90" s="365">
        <f t="shared" si="27"/>
        <v>5256.25</v>
      </c>
    </row>
    <row r="91" spans="1:22" x14ac:dyDescent="0.2">
      <c r="A91" s="3" t="s">
        <v>440</v>
      </c>
      <c r="B91" s="225">
        <v>53</v>
      </c>
      <c r="C91" s="37"/>
      <c r="D91" s="10" t="s">
        <v>219</v>
      </c>
      <c r="E91" s="10"/>
      <c r="F91" s="19" t="s">
        <v>220</v>
      </c>
      <c r="G91" s="159">
        <v>1100</v>
      </c>
      <c r="H91" s="363">
        <f>+'Yr 1 Operating Statement of Act'!$G93/12</f>
        <v>970.56616439088486</v>
      </c>
      <c r="I91" s="364">
        <f>+'Yr 1 Operating Statement of Act'!$G93/12</f>
        <v>970.56616439088486</v>
      </c>
      <c r="J91" s="364">
        <f>+'Yr 1 Operating Statement of Act'!$G93/12</f>
        <v>970.56616439088486</v>
      </c>
      <c r="K91" s="364">
        <f>+'Yr 1 Operating Statement of Act'!$G93/12</f>
        <v>970.56616439088486</v>
      </c>
      <c r="L91" s="364">
        <f>+'Yr 1 Operating Statement of Act'!$G93/12</f>
        <v>970.56616439088486</v>
      </c>
      <c r="M91" s="364">
        <f>+'Yr 1 Operating Statement of Act'!$G93/12</f>
        <v>970.56616439088486</v>
      </c>
      <c r="N91" s="364">
        <f>+'Yr 1 Operating Statement of Act'!$G93/12</f>
        <v>970.56616439088486</v>
      </c>
      <c r="O91" s="364">
        <f>+'Yr 1 Operating Statement of Act'!$G93/12</f>
        <v>970.56616439088486</v>
      </c>
      <c r="P91" s="364">
        <f>+'Yr 1 Operating Statement of Act'!$G93/12</f>
        <v>970.56616439088486</v>
      </c>
      <c r="Q91" s="364">
        <f>+'Yr 1 Operating Statement of Act'!$G93/12</f>
        <v>970.56616439088486</v>
      </c>
      <c r="R91" s="364">
        <f>+'Yr 1 Operating Statement of Act'!$G93/12</f>
        <v>970.56616439088486</v>
      </c>
      <c r="S91" s="365">
        <f>+'Yr 1 Operating Statement of Act'!$G93/12</f>
        <v>970.56616439088486</v>
      </c>
      <c r="T91" s="365">
        <f t="shared" si="28"/>
        <v>11646.793972690617</v>
      </c>
      <c r="U91" s="365"/>
      <c r="V91" s="365">
        <f t="shared" si="27"/>
        <v>11646.793972690617</v>
      </c>
    </row>
    <row r="92" spans="1:22" x14ac:dyDescent="0.2">
      <c r="A92" s="3" t="s">
        <v>440</v>
      </c>
      <c r="B92" s="225">
        <v>54</v>
      </c>
      <c r="C92" s="37"/>
      <c r="D92" s="10" t="s">
        <v>102</v>
      </c>
      <c r="E92" s="10"/>
      <c r="F92" s="19" t="s">
        <v>103</v>
      </c>
      <c r="G92" s="159" t="s">
        <v>80</v>
      </c>
      <c r="H92" s="363">
        <f>+'Yr 1 Operating Statement of Act'!$G94/12</f>
        <v>30.208333333333332</v>
      </c>
      <c r="I92" s="364">
        <f>+'Yr 1 Operating Statement of Act'!$G94/12</f>
        <v>30.208333333333332</v>
      </c>
      <c r="J92" s="364">
        <f>+'Yr 1 Operating Statement of Act'!$G94/12</f>
        <v>30.208333333333332</v>
      </c>
      <c r="K92" s="364">
        <f>+'Yr 1 Operating Statement of Act'!$G94/12</f>
        <v>30.208333333333332</v>
      </c>
      <c r="L92" s="364">
        <f>+'Yr 1 Operating Statement of Act'!$G94/12</f>
        <v>30.208333333333332</v>
      </c>
      <c r="M92" s="364">
        <f>+'Yr 1 Operating Statement of Act'!$G94/12</f>
        <v>30.208333333333332</v>
      </c>
      <c r="N92" s="364">
        <f>+'Yr 1 Operating Statement of Act'!$G94/12</f>
        <v>30.208333333333332</v>
      </c>
      <c r="O92" s="364">
        <f>+'Yr 1 Operating Statement of Act'!$G94/12</f>
        <v>30.208333333333332</v>
      </c>
      <c r="P92" s="364">
        <f>+'Yr 1 Operating Statement of Act'!$G94/12</f>
        <v>30.208333333333332</v>
      </c>
      <c r="Q92" s="364">
        <f>+'Yr 1 Operating Statement of Act'!$G94/12</f>
        <v>30.208333333333332</v>
      </c>
      <c r="R92" s="364">
        <f>+'Yr 1 Operating Statement of Act'!$G94/12</f>
        <v>30.208333333333332</v>
      </c>
      <c r="S92" s="365">
        <f>+'Yr 1 Operating Statement of Act'!$G94/12</f>
        <v>30.208333333333332</v>
      </c>
      <c r="T92" s="365">
        <f t="shared" si="28"/>
        <v>362.49999999999994</v>
      </c>
      <c r="U92" s="365"/>
      <c r="V92" s="365">
        <f t="shared" si="27"/>
        <v>362.49999999999994</v>
      </c>
    </row>
    <row r="93" spans="1:22" x14ac:dyDescent="0.2">
      <c r="A93" s="3" t="s">
        <v>440</v>
      </c>
      <c r="B93" s="225">
        <v>55</v>
      </c>
      <c r="C93" s="37"/>
      <c r="D93" s="10" t="s">
        <v>104</v>
      </c>
      <c r="E93" s="10"/>
      <c r="F93" s="19" t="s">
        <v>105</v>
      </c>
      <c r="G93" s="159" t="s">
        <v>80</v>
      </c>
      <c r="H93" s="363">
        <f>+'Yr 1 Operating Statement of Act'!G95</f>
        <v>0</v>
      </c>
      <c r="I93" s="364"/>
      <c r="J93" s="364"/>
      <c r="K93" s="364"/>
      <c r="L93" s="364"/>
      <c r="M93" s="364"/>
      <c r="N93" s="364"/>
      <c r="O93" s="364"/>
      <c r="P93" s="364"/>
      <c r="Q93" s="364"/>
      <c r="R93" s="364"/>
      <c r="S93" s="365"/>
      <c r="T93" s="365">
        <f t="shared" si="28"/>
        <v>0</v>
      </c>
      <c r="U93" s="365"/>
      <c r="V93" s="365">
        <f t="shared" si="27"/>
        <v>0</v>
      </c>
    </row>
    <row r="94" spans="1:22" x14ac:dyDescent="0.2">
      <c r="A94" s="3" t="s">
        <v>440</v>
      </c>
      <c r="B94" s="225">
        <v>56</v>
      </c>
      <c r="C94" s="37"/>
      <c r="D94" s="86" t="s">
        <v>283</v>
      </c>
      <c r="E94" s="10"/>
      <c r="F94" s="19"/>
      <c r="G94" s="159"/>
      <c r="H94" s="363"/>
      <c r="I94" s="364"/>
      <c r="J94" s="364"/>
      <c r="K94" s="364"/>
      <c r="L94" s="364"/>
      <c r="M94" s="364"/>
      <c r="N94" s="364"/>
      <c r="O94" s="364"/>
      <c r="P94" s="364"/>
      <c r="Q94" s="364"/>
      <c r="R94" s="364"/>
      <c r="S94" s="365"/>
      <c r="T94" s="365">
        <f t="shared" si="28"/>
        <v>0</v>
      </c>
      <c r="U94" s="365"/>
      <c r="V94" s="365">
        <f t="shared" si="27"/>
        <v>0</v>
      </c>
    </row>
    <row r="95" spans="1:22" x14ac:dyDescent="0.2">
      <c r="A95" s="3" t="s">
        <v>440</v>
      </c>
      <c r="B95" s="225">
        <v>57</v>
      </c>
      <c r="C95" s="37"/>
      <c r="D95" s="10" t="s">
        <v>446</v>
      </c>
      <c r="E95" s="10"/>
      <c r="F95" s="19">
        <v>150</v>
      </c>
      <c r="G95" s="159">
        <v>1100</v>
      </c>
      <c r="H95" s="363">
        <f>+'Yr 1 Operating Statement of Act'!$G97*0</f>
        <v>0</v>
      </c>
      <c r="I95" s="364">
        <f>+'Yr 1 Operating Statement of Act'!$G97*0</f>
        <v>0</v>
      </c>
      <c r="J95" s="364">
        <f>+'Yr 1 Operating Statement of Act'!$G97*0</f>
        <v>0</v>
      </c>
      <c r="K95" s="364">
        <f>+'Yr 1 Operating Statement of Act'!$G97*0</f>
        <v>0</v>
      </c>
      <c r="L95" s="364">
        <f>+'Yr 1 Operating Statement of Act'!$G97*0</f>
        <v>0</v>
      </c>
      <c r="M95" s="364">
        <f>+'Yr 1 Operating Statement of Act'!$G97/2</f>
        <v>10765</v>
      </c>
      <c r="N95" s="364">
        <f>+'Yr 1 Operating Statement of Act'!$G97*0</f>
        <v>0</v>
      </c>
      <c r="O95" s="364">
        <f>+'Yr 1 Operating Statement of Act'!$G97*0</f>
        <v>0</v>
      </c>
      <c r="P95" s="364">
        <f>+'Yr 1 Operating Statement of Act'!$G97*0</f>
        <v>0</v>
      </c>
      <c r="Q95" s="364">
        <f>+'Yr 1 Operating Statement of Act'!$G97*0</f>
        <v>0</v>
      </c>
      <c r="R95" s="364">
        <f>+'Yr 1 Operating Statement of Act'!$G97/2</f>
        <v>10765</v>
      </c>
      <c r="S95" s="365">
        <f>+'Yr 1 Operating Statement of Act'!$G97*0</f>
        <v>0</v>
      </c>
      <c r="T95" s="365">
        <f t="shared" si="28"/>
        <v>21530</v>
      </c>
      <c r="U95" s="365"/>
      <c r="V95" s="365">
        <f t="shared" si="27"/>
        <v>21530</v>
      </c>
    </row>
    <row r="96" spans="1:22" x14ac:dyDescent="0.2">
      <c r="A96" s="3" t="s">
        <v>440</v>
      </c>
      <c r="B96" s="225">
        <v>58</v>
      </c>
      <c r="C96" s="37"/>
      <c r="D96" s="86"/>
      <c r="E96" s="10"/>
      <c r="F96" s="19"/>
      <c r="G96" s="159"/>
      <c r="H96" s="363"/>
      <c r="I96" s="364"/>
      <c r="J96" s="364"/>
      <c r="K96" s="364"/>
      <c r="L96" s="364"/>
      <c r="M96" s="364"/>
      <c r="N96" s="364"/>
      <c r="O96" s="364"/>
      <c r="P96" s="364"/>
      <c r="Q96" s="364"/>
      <c r="R96" s="364"/>
      <c r="S96" s="365"/>
      <c r="T96" s="365">
        <f t="shared" si="28"/>
        <v>0</v>
      </c>
      <c r="U96" s="365"/>
      <c r="V96" s="365">
        <f t="shared" si="27"/>
        <v>0</v>
      </c>
    </row>
    <row r="97" spans="1:22" x14ac:dyDescent="0.2">
      <c r="A97" s="3" t="s">
        <v>440</v>
      </c>
      <c r="B97" s="225">
        <v>59</v>
      </c>
      <c r="F97" s="15"/>
      <c r="G97" s="167"/>
      <c r="H97" s="380"/>
      <c r="I97" s="381"/>
      <c r="J97" s="381"/>
      <c r="K97" s="381"/>
      <c r="L97" s="381"/>
      <c r="M97" s="381"/>
      <c r="N97" s="381"/>
      <c r="O97" s="381"/>
      <c r="P97" s="381"/>
      <c r="Q97" s="381"/>
      <c r="R97" s="381"/>
      <c r="S97" s="382"/>
      <c r="T97" s="365">
        <f t="shared" si="28"/>
        <v>0</v>
      </c>
      <c r="U97" s="365"/>
      <c r="V97" s="365">
        <f t="shared" si="27"/>
        <v>0</v>
      </c>
    </row>
    <row r="98" spans="1:22" ht="15" x14ac:dyDescent="0.25">
      <c r="A98" s="3" t="s">
        <v>440</v>
      </c>
      <c r="B98" s="226">
        <v>60</v>
      </c>
      <c r="C98" s="88" t="s">
        <v>106</v>
      </c>
      <c r="D98" s="52"/>
      <c r="E98" s="52"/>
      <c r="F98" s="50"/>
      <c r="G98" s="163"/>
      <c r="H98" s="372">
        <f t="shared" ref="H98:U98" si="30">SUM(H77:H97)</f>
        <v>53696.591948807807</v>
      </c>
      <c r="I98" s="373">
        <f t="shared" si="30"/>
        <v>48396.350013323936</v>
      </c>
      <c r="J98" s="373">
        <f t="shared" si="30"/>
        <v>41137.80162622717</v>
      </c>
      <c r="K98" s="373">
        <f t="shared" si="30"/>
        <v>39863.249654901003</v>
      </c>
      <c r="L98" s="373">
        <f t="shared" si="30"/>
        <v>39863.249654901003</v>
      </c>
      <c r="M98" s="373">
        <f t="shared" si="30"/>
        <v>50628.249654901003</v>
      </c>
      <c r="N98" s="373">
        <f t="shared" si="30"/>
        <v>41105.185138771973</v>
      </c>
      <c r="O98" s="373">
        <f t="shared" si="30"/>
        <v>39863.249654901003</v>
      </c>
      <c r="P98" s="373">
        <f t="shared" si="30"/>
        <v>39863.249654901003</v>
      </c>
      <c r="Q98" s="373">
        <f t="shared" si="30"/>
        <v>39863.249654901003</v>
      </c>
      <c r="R98" s="373">
        <f t="shared" si="30"/>
        <v>50628.249654901003</v>
      </c>
      <c r="S98" s="374">
        <f t="shared" si="30"/>
        <v>42058.652880707457</v>
      </c>
      <c r="T98" s="374">
        <f t="shared" si="30"/>
        <v>526967.32919214526</v>
      </c>
      <c r="U98" s="374">
        <f t="shared" si="30"/>
        <v>6253.7096774193551</v>
      </c>
      <c r="V98" s="374">
        <f t="shared" si="27"/>
        <v>533221.03886956465</v>
      </c>
    </row>
    <row r="99" spans="1:22" x14ac:dyDescent="0.2">
      <c r="A99" s="3" t="s">
        <v>440</v>
      </c>
      <c r="B99" s="225"/>
      <c r="F99" s="15"/>
      <c r="G99" s="167"/>
      <c r="H99" s="380"/>
      <c r="I99" s="381"/>
      <c r="J99" s="381"/>
      <c r="K99" s="381"/>
      <c r="L99" s="381"/>
      <c r="M99" s="381"/>
      <c r="N99" s="381"/>
      <c r="O99" s="381"/>
      <c r="P99" s="381"/>
      <c r="Q99" s="381"/>
      <c r="R99" s="381"/>
      <c r="S99" s="382"/>
      <c r="T99" s="382"/>
      <c r="U99" s="382"/>
      <c r="V99" s="382"/>
    </row>
    <row r="100" spans="1:22" s="5" customFormat="1" ht="15" x14ac:dyDescent="0.25">
      <c r="A100" s="3" t="s">
        <v>440</v>
      </c>
      <c r="B100" s="227"/>
      <c r="C100" s="91" t="s">
        <v>14</v>
      </c>
      <c r="D100" s="56"/>
      <c r="E100" s="60"/>
      <c r="F100" s="64"/>
      <c r="G100" s="168"/>
      <c r="H100" s="383"/>
      <c r="I100" s="384"/>
      <c r="J100" s="384"/>
      <c r="K100" s="384"/>
      <c r="L100" s="384"/>
      <c r="M100" s="384"/>
      <c r="N100" s="384"/>
      <c r="O100" s="384"/>
      <c r="P100" s="384"/>
      <c r="Q100" s="384"/>
      <c r="R100" s="384"/>
      <c r="S100" s="385"/>
      <c r="T100" s="385"/>
      <c r="U100" s="385"/>
      <c r="V100" s="379"/>
    </row>
    <row r="101" spans="1:22" s="5" customFormat="1" ht="15" x14ac:dyDescent="0.25">
      <c r="A101" s="3" t="s">
        <v>440</v>
      </c>
      <c r="B101" s="228"/>
      <c r="C101" s="90" t="s">
        <v>15</v>
      </c>
      <c r="D101" s="57"/>
      <c r="E101" s="61"/>
      <c r="F101" s="66"/>
      <c r="G101" s="169"/>
      <c r="H101" s="417"/>
      <c r="I101" s="418"/>
      <c r="J101" s="418"/>
      <c r="K101" s="418"/>
      <c r="L101" s="418"/>
      <c r="M101" s="418"/>
      <c r="N101" s="418"/>
      <c r="O101" s="418"/>
      <c r="P101" s="418"/>
      <c r="Q101" s="418"/>
      <c r="R101" s="418"/>
      <c r="S101" s="419"/>
      <c r="T101" s="419"/>
      <c r="U101" s="419"/>
      <c r="V101" s="379"/>
    </row>
    <row r="102" spans="1:22" x14ac:dyDescent="0.2">
      <c r="A102" s="3" t="s">
        <v>440</v>
      </c>
      <c r="B102" s="225"/>
      <c r="C102" s="10"/>
      <c r="D102" s="10" t="s">
        <v>76</v>
      </c>
      <c r="F102" s="62"/>
      <c r="G102" s="158"/>
      <c r="H102" s="378"/>
      <c r="I102" s="366"/>
      <c r="J102" s="366"/>
      <c r="K102" s="366"/>
      <c r="L102" s="366"/>
      <c r="M102" s="366"/>
      <c r="N102" s="366"/>
      <c r="O102" s="366"/>
      <c r="P102" s="366"/>
      <c r="Q102" s="366"/>
      <c r="R102" s="366"/>
      <c r="S102" s="379"/>
      <c r="T102" s="379"/>
      <c r="U102" s="379"/>
      <c r="V102" s="379"/>
    </row>
    <row r="103" spans="1:22" x14ac:dyDescent="0.2">
      <c r="A103" s="3" t="s">
        <v>440</v>
      </c>
      <c r="B103" s="225">
        <v>61</v>
      </c>
      <c r="C103" s="37"/>
      <c r="D103" s="10"/>
      <c r="E103" s="10" t="s">
        <v>117</v>
      </c>
      <c r="F103" s="19" t="s">
        <v>77</v>
      </c>
      <c r="G103" s="159" t="s">
        <v>107</v>
      </c>
      <c r="H103" s="363">
        <f>+'Yr 1 Operating Statement of Act'!$G105/12</f>
        <v>13270.833333333334</v>
      </c>
      <c r="I103" s="364">
        <f>+'Yr 1 Operating Statement of Act'!$G105/12</f>
        <v>13270.833333333334</v>
      </c>
      <c r="J103" s="364">
        <f>+'Yr 1 Operating Statement of Act'!$G105/12</f>
        <v>13270.833333333334</v>
      </c>
      <c r="K103" s="364">
        <f>+'Yr 1 Operating Statement of Act'!$G105/12</f>
        <v>13270.833333333334</v>
      </c>
      <c r="L103" s="364">
        <f>+'Yr 1 Operating Statement of Act'!$G105/12</f>
        <v>13270.833333333334</v>
      </c>
      <c r="M103" s="364">
        <f>+'Yr 1 Operating Statement of Act'!$G105/12</f>
        <v>13270.833333333334</v>
      </c>
      <c r="N103" s="364">
        <f>+'Yr 1 Operating Statement of Act'!$G105/12</f>
        <v>13270.833333333334</v>
      </c>
      <c r="O103" s="364">
        <f>+'Yr 1 Operating Statement of Act'!$G105/12</f>
        <v>13270.833333333334</v>
      </c>
      <c r="P103" s="364">
        <f>+'Yr 1 Operating Statement of Act'!$G105/12</f>
        <v>13270.833333333334</v>
      </c>
      <c r="Q103" s="364">
        <f>+'Yr 1 Operating Statement of Act'!$G105/12</f>
        <v>13270.833333333334</v>
      </c>
      <c r="R103" s="364">
        <f>+'Yr 1 Operating Statement of Act'!$G105/12</f>
        <v>13270.833333333334</v>
      </c>
      <c r="S103" s="365">
        <f>+'Yr 1 Operating Statement of Act'!$G105/12</f>
        <v>13270.833333333334</v>
      </c>
      <c r="T103" s="365">
        <f t="shared" ref="T103:T109" si="31">SUM(H103:S103)</f>
        <v>159250</v>
      </c>
      <c r="U103" s="365"/>
      <c r="V103" s="365">
        <f t="shared" si="27"/>
        <v>159250</v>
      </c>
    </row>
    <row r="104" spans="1:22" x14ac:dyDescent="0.2">
      <c r="A104" s="3" t="s">
        <v>440</v>
      </c>
      <c r="B104" s="225">
        <v>62</v>
      </c>
      <c r="C104" s="37"/>
      <c r="D104" s="10"/>
      <c r="E104" s="10" t="s">
        <v>285</v>
      </c>
      <c r="F104" s="19" t="s">
        <v>108</v>
      </c>
      <c r="G104" s="159" t="s">
        <v>107</v>
      </c>
      <c r="H104" s="363">
        <f>+'Yr 1 Operating Statement of Act'!$G106/12</f>
        <v>6625</v>
      </c>
      <c r="I104" s="364">
        <f>+'Yr 1 Operating Statement of Act'!$G106/12</f>
        <v>6625</v>
      </c>
      <c r="J104" s="364">
        <f>+'Yr 1 Operating Statement of Act'!$G106/12</f>
        <v>6625</v>
      </c>
      <c r="K104" s="364">
        <f>+'Yr 1 Operating Statement of Act'!$G106/12</f>
        <v>6625</v>
      </c>
      <c r="L104" s="364">
        <f>+'Yr 1 Operating Statement of Act'!$G106/12</f>
        <v>6625</v>
      </c>
      <c r="M104" s="364">
        <f>+'Yr 1 Operating Statement of Act'!$G106/12</f>
        <v>6625</v>
      </c>
      <c r="N104" s="364">
        <f>+'Yr 1 Operating Statement of Act'!$G106/12</f>
        <v>6625</v>
      </c>
      <c r="O104" s="364">
        <f>+'Yr 1 Operating Statement of Act'!$G106/12</f>
        <v>6625</v>
      </c>
      <c r="P104" s="364">
        <f>+'Yr 1 Operating Statement of Act'!$G106/12</f>
        <v>6625</v>
      </c>
      <c r="Q104" s="364">
        <f>+'Yr 1 Operating Statement of Act'!$G106/12</f>
        <v>6625</v>
      </c>
      <c r="R104" s="364">
        <f>+'Yr 1 Operating Statement of Act'!$G106/12</f>
        <v>6625</v>
      </c>
      <c r="S104" s="365">
        <f>+'Yr 1 Operating Statement of Act'!$G106/12</f>
        <v>6625</v>
      </c>
      <c r="T104" s="365">
        <f t="shared" si="31"/>
        <v>79500</v>
      </c>
      <c r="U104" s="365"/>
      <c r="V104" s="365">
        <f t="shared" si="27"/>
        <v>79500</v>
      </c>
    </row>
    <row r="105" spans="1:22" x14ac:dyDescent="0.2">
      <c r="A105" s="3" t="s">
        <v>440</v>
      </c>
      <c r="B105" s="225">
        <v>63</v>
      </c>
      <c r="C105" s="37"/>
      <c r="D105" s="10"/>
      <c r="E105" s="10" t="s">
        <v>78</v>
      </c>
      <c r="F105" s="19" t="s">
        <v>79</v>
      </c>
      <c r="G105" s="159" t="s">
        <v>107</v>
      </c>
      <c r="H105" s="363">
        <f>+'Yr 1 Operating Statement of Act'!$G107/12</f>
        <v>2500</v>
      </c>
      <c r="I105" s="364">
        <f>+'Yr 1 Operating Statement of Act'!$G107/12</f>
        <v>2500</v>
      </c>
      <c r="J105" s="364">
        <f>+'Yr 1 Operating Statement of Act'!$G107/12</f>
        <v>2500</v>
      </c>
      <c r="K105" s="364">
        <f>+'Yr 1 Operating Statement of Act'!$G107/12</f>
        <v>2500</v>
      </c>
      <c r="L105" s="364">
        <f>+'Yr 1 Operating Statement of Act'!$G107/12</f>
        <v>2500</v>
      </c>
      <c r="M105" s="364">
        <f>+'Yr 1 Operating Statement of Act'!$G107/12</f>
        <v>2500</v>
      </c>
      <c r="N105" s="364">
        <f>+'Yr 1 Operating Statement of Act'!$G107/12</f>
        <v>2500</v>
      </c>
      <c r="O105" s="364">
        <f>+'Yr 1 Operating Statement of Act'!$G107/12</f>
        <v>2500</v>
      </c>
      <c r="P105" s="364">
        <f>+'Yr 1 Operating Statement of Act'!$G107/12</f>
        <v>2500</v>
      </c>
      <c r="Q105" s="364">
        <f>+'Yr 1 Operating Statement of Act'!$G107/12</f>
        <v>2500</v>
      </c>
      <c r="R105" s="364">
        <f>+'Yr 1 Operating Statement of Act'!$G107/12</f>
        <v>2500</v>
      </c>
      <c r="S105" s="365">
        <f>+'Yr 1 Operating Statement of Act'!$G107/12</f>
        <v>2500</v>
      </c>
      <c r="T105" s="365">
        <f t="shared" si="31"/>
        <v>30000</v>
      </c>
      <c r="U105" s="365"/>
      <c r="V105" s="365">
        <f t="shared" si="27"/>
        <v>30000</v>
      </c>
    </row>
    <row r="106" spans="1:22" x14ac:dyDescent="0.2">
      <c r="A106" s="3" t="s">
        <v>440</v>
      </c>
      <c r="B106" s="225">
        <v>64</v>
      </c>
      <c r="C106" s="37"/>
      <c r="D106" s="10"/>
      <c r="E106" s="10" t="s">
        <v>81</v>
      </c>
      <c r="F106" s="19" t="s">
        <v>82</v>
      </c>
      <c r="G106" s="159" t="s">
        <v>107</v>
      </c>
      <c r="H106" s="363">
        <f>+'Yr 1 Operating Statement of Act'!G108</f>
        <v>0</v>
      </c>
      <c r="I106" s="364"/>
      <c r="J106" s="364"/>
      <c r="K106" s="364"/>
      <c r="L106" s="364"/>
      <c r="M106" s="364"/>
      <c r="N106" s="364"/>
      <c r="O106" s="364"/>
      <c r="P106" s="364"/>
      <c r="Q106" s="364"/>
      <c r="R106" s="364"/>
      <c r="S106" s="365"/>
      <c r="T106" s="365">
        <f t="shared" si="31"/>
        <v>0</v>
      </c>
      <c r="U106" s="365"/>
      <c r="V106" s="365">
        <f t="shared" si="27"/>
        <v>0</v>
      </c>
    </row>
    <row r="107" spans="1:22" x14ac:dyDescent="0.2">
      <c r="A107" s="3" t="s">
        <v>440</v>
      </c>
      <c r="B107" s="225">
        <v>65</v>
      </c>
      <c r="C107" s="37"/>
      <c r="D107" s="10" t="s">
        <v>83</v>
      </c>
      <c r="E107" s="10"/>
      <c r="F107" s="19" t="s">
        <v>84</v>
      </c>
      <c r="G107" s="159" t="s">
        <v>107</v>
      </c>
      <c r="H107" s="363">
        <f>+'Yr 1 Operating Statement of Act'!$G109*0</f>
        <v>0</v>
      </c>
      <c r="I107" s="364">
        <f>+'Yr 1 Operating Statement of Act'!$G109*0</f>
        <v>0</v>
      </c>
      <c r="J107" s="364">
        <f>+'Yr 1 Operating Statement of Act'!$G109*'KIPP Assumptions'!$C$118</f>
        <v>3851.5395894428148</v>
      </c>
      <c r="K107" s="364">
        <f>+'Yr 1 Operating Statement of Act'!$G109*'KIPP Assumptions'!$C$119</f>
        <v>3466.3856304985338</v>
      </c>
      <c r="L107" s="364">
        <f>+'Yr 1 Operating Statement of Act'!$G109*'KIPP Assumptions'!$C$120</f>
        <v>3658.9626099706743</v>
      </c>
      <c r="M107" s="364">
        <f>+'Yr 1 Operating Statement of Act'!$G109*'KIPP Assumptions'!$C$121</f>
        <v>3081.231671554252</v>
      </c>
      <c r="N107" s="364">
        <f>+'Yr 1 Operating Statement of Act'!$G109*'KIPP Assumptions'!$C$122</f>
        <v>2310.9237536656888</v>
      </c>
      <c r="O107" s="364">
        <f>+'Yr 1 Operating Statement of Act'!$G109*'KIPP Assumptions'!$C$123</f>
        <v>3851.5395894428148</v>
      </c>
      <c r="P107" s="364">
        <f>+'Yr 1 Operating Statement of Act'!$G109*'KIPP Assumptions'!$C$124</f>
        <v>3851.5395894428148</v>
      </c>
      <c r="Q107" s="364">
        <f>+'Yr 1 Operating Statement of Act'!$G109*'KIPP Assumptions'!$C$125</f>
        <v>2503.5007331378301</v>
      </c>
      <c r="R107" s="364">
        <f>+'Yr 1 Operating Statement of Act'!$G109*'KIPP Assumptions'!$C$126</f>
        <v>4044.1165689149561</v>
      </c>
      <c r="S107" s="365">
        <f>+'Yr 1 Operating Statement of Act'!$G109*'KIPP Assumptions'!$C$127</f>
        <v>3273.8086510263929</v>
      </c>
      <c r="T107" s="365">
        <f t="shared" si="31"/>
        <v>33893.548387096773</v>
      </c>
      <c r="U107" s="365"/>
      <c r="V107" s="365">
        <f t="shared" si="27"/>
        <v>33893.548387096773</v>
      </c>
    </row>
    <row r="108" spans="1:22" x14ac:dyDescent="0.2">
      <c r="A108" s="3" t="s">
        <v>440</v>
      </c>
      <c r="B108" s="225">
        <v>66</v>
      </c>
      <c r="C108" s="37"/>
      <c r="D108" s="10" t="s">
        <v>85</v>
      </c>
      <c r="E108" s="10"/>
      <c r="F108" s="19">
        <v>430</v>
      </c>
      <c r="G108" s="159">
        <v>1210</v>
      </c>
      <c r="H108" s="363">
        <f>+'Yr 1 Operating Statement of Act'!G110</f>
        <v>0</v>
      </c>
      <c r="I108" s="364"/>
      <c r="J108" s="364"/>
      <c r="K108" s="364"/>
      <c r="L108" s="364"/>
      <c r="M108" s="364"/>
      <c r="N108" s="364"/>
      <c r="O108" s="364"/>
      <c r="P108" s="364"/>
      <c r="Q108" s="364"/>
      <c r="R108" s="364"/>
      <c r="S108" s="365"/>
      <c r="T108" s="365">
        <f t="shared" si="31"/>
        <v>0</v>
      </c>
      <c r="U108" s="365"/>
      <c r="V108" s="365">
        <f t="shared" si="27"/>
        <v>0</v>
      </c>
    </row>
    <row r="109" spans="1:22" x14ac:dyDescent="0.2">
      <c r="A109" s="3" t="s">
        <v>440</v>
      </c>
      <c r="B109" s="225">
        <v>67</v>
      </c>
      <c r="C109" s="37"/>
      <c r="D109" s="10" t="s">
        <v>87</v>
      </c>
      <c r="E109" s="10"/>
      <c r="F109" s="19" t="s">
        <v>88</v>
      </c>
      <c r="G109" s="159" t="s">
        <v>107</v>
      </c>
      <c r="H109" s="363">
        <f>+'Yr 1 Operating Statement of Act'!G111</f>
        <v>0</v>
      </c>
      <c r="I109" s="364"/>
      <c r="J109" s="364"/>
      <c r="K109" s="364"/>
      <c r="L109" s="364"/>
      <c r="M109" s="364"/>
      <c r="N109" s="364"/>
      <c r="O109" s="364"/>
      <c r="P109" s="364"/>
      <c r="Q109" s="364"/>
      <c r="R109" s="364"/>
      <c r="S109" s="365"/>
      <c r="T109" s="365">
        <f t="shared" si="31"/>
        <v>0</v>
      </c>
      <c r="U109" s="365"/>
      <c r="V109" s="365">
        <f t="shared" si="27"/>
        <v>0</v>
      </c>
    </row>
    <row r="110" spans="1:22" x14ac:dyDescent="0.2">
      <c r="A110" s="3" t="s">
        <v>440</v>
      </c>
      <c r="B110" s="225"/>
      <c r="C110" s="37"/>
      <c r="D110" s="10" t="s">
        <v>109</v>
      </c>
      <c r="E110" s="10"/>
      <c r="F110" s="62"/>
      <c r="G110" s="158"/>
      <c r="H110" s="378"/>
      <c r="I110" s="366"/>
      <c r="J110" s="366"/>
      <c r="K110" s="366"/>
      <c r="L110" s="366"/>
      <c r="M110" s="366"/>
      <c r="N110" s="366"/>
      <c r="O110" s="366"/>
      <c r="P110" s="366"/>
      <c r="Q110" s="366"/>
      <c r="R110" s="366"/>
      <c r="S110" s="379"/>
      <c r="T110" s="379"/>
      <c r="U110" s="379"/>
      <c r="V110" s="379"/>
    </row>
    <row r="111" spans="1:22" x14ac:dyDescent="0.2">
      <c r="A111" s="3" t="s">
        <v>440</v>
      </c>
      <c r="B111" s="225">
        <v>68</v>
      </c>
      <c r="C111" s="37"/>
      <c r="D111" s="10"/>
      <c r="E111" s="10" t="s">
        <v>110</v>
      </c>
      <c r="F111" s="19" t="s">
        <v>90</v>
      </c>
      <c r="G111" s="159" t="s">
        <v>107</v>
      </c>
      <c r="H111" s="363">
        <f>+'Yr 1 Operating Statement of Act'!$G113*0.2</f>
        <v>1188.3064516129032</v>
      </c>
      <c r="I111" s="364">
        <f>+'Yr 1 Operating Statement of Act'!$G113*0.15</f>
        <v>891.22983870967744</v>
      </c>
      <c r="J111" s="364">
        <f>+'Yr 1 Operating Statement of Act'!$G113*0.05</f>
        <v>297.07661290322579</v>
      </c>
      <c r="K111" s="364">
        <f>+'Yr 1 Operating Statement of Act'!$G113*0.05</f>
        <v>297.07661290322579</v>
      </c>
      <c r="L111" s="364">
        <f>+'Yr 1 Operating Statement of Act'!$G113*0.05</f>
        <v>297.07661290322579</v>
      </c>
      <c r="M111" s="364">
        <f>+'Yr 1 Operating Statement of Act'!$G113*0.05</f>
        <v>297.07661290322579</v>
      </c>
      <c r="N111" s="364">
        <f>+'Yr 1 Operating Statement of Act'!$G113*0.05</f>
        <v>297.07661290322579</v>
      </c>
      <c r="O111" s="364">
        <f>+'Yr 1 Operating Statement of Act'!$G113*0.05</f>
        <v>297.07661290322579</v>
      </c>
      <c r="P111" s="364">
        <f>+'Yr 1 Operating Statement of Act'!$G113*0.05</f>
        <v>297.07661290322579</v>
      </c>
      <c r="Q111" s="364">
        <f>+'Yr 1 Operating Statement of Act'!$G113*0.05</f>
        <v>297.07661290322579</v>
      </c>
      <c r="R111" s="364">
        <f>+'Yr 1 Operating Statement of Act'!$G113*0.05</f>
        <v>297.07661290322579</v>
      </c>
      <c r="S111" s="365">
        <f>+'Yr 1 Operating Statement of Act'!$G113*0.1</f>
        <v>594.15322580645159</v>
      </c>
      <c r="T111" s="365">
        <f t="shared" ref="T111:T112" si="32">SUM(H111:S111)</f>
        <v>5347.3790322580635</v>
      </c>
      <c r="U111" s="365">
        <f>+'Yr 1 Operating Statement of Act'!$G113*0.1</f>
        <v>594.15322580645159</v>
      </c>
      <c r="V111" s="365">
        <f t="shared" si="27"/>
        <v>5941.5322580645152</v>
      </c>
    </row>
    <row r="112" spans="1:22" x14ac:dyDescent="0.2">
      <c r="A112" s="3" t="s">
        <v>440</v>
      </c>
      <c r="B112" s="225">
        <v>69</v>
      </c>
      <c r="C112" s="37"/>
      <c r="D112" s="10"/>
      <c r="E112" s="10" t="s">
        <v>91</v>
      </c>
      <c r="F112" s="19" t="s">
        <v>92</v>
      </c>
      <c r="G112" s="159" t="s">
        <v>107</v>
      </c>
      <c r="H112" s="363">
        <f>+'Yr 1 Operating Statement of Act'!$G114*0.5</f>
        <v>0</v>
      </c>
      <c r="I112" s="364">
        <f>+'Yr 1 Operating Statement of Act'!$G114*0</f>
        <v>0</v>
      </c>
      <c r="J112" s="364">
        <f>+'Yr 1 Operating Statement of Act'!$G114*0</f>
        <v>0</v>
      </c>
      <c r="K112" s="364">
        <f>+'Yr 1 Operating Statement of Act'!$G114*0</f>
        <v>0</v>
      </c>
      <c r="L112" s="364">
        <f>+'Yr 1 Operating Statement of Act'!$G114*0</f>
        <v>0</v>
      </c>
      <c r="M112" s="364">
        <v>0</v>
      </c>
      <c r="N112" s="364">
        <f>+'Yr 1 Operating Statement of Act'!$G114*0.2</f>
        <v>0</v>
      </c>
      <c r="O112" s="364">
        <f>+'Yr 1 Operating Statement of Act'!$G114*0</f>
        <v>0</v>
      </c>
      <c r="P112" s="364">
        <f>+'Yr 1 Operating Statement of Act'!$G114*0</f>
        <v>0</v>
      </c>
      <c r="Q112" s="364">
        <f>+'Yr 1 Operating Statement of Act'!$G114*0</f>
        <v>0</v>
      </c>
      <c r="R112" s="364">
        <f>+'Yr 1 Operating Statement of Act'!$G114*0</f>
        <v>0</v>
      </c>
      <c r="S112" s="365">
        <f>+'Yr 1 Operating Statement of Act'!$G114*0</f>
        <v>0</v>
      </c>
      <c r="T112" s="365">
        <f t="shared" si="32"/>
        <v>0</v>
      </c>
      <c r="U112" s="365">
        <f>+'Yr 1 Operating Statement of Act'!$G114*0.3</f>
        <v>0</v>
      </c>
      <c r="V112" s="365">
        <f t="shared" si="27"/>
        <v>0</v>
      </c>
    </row>
    <row r="113" spans="1:22" x14ac:dyDescent="0.2">
      <c r="A113" s="3" t="s">
        <v>440</v>
      </c>
      <c r="B113" s="225">
        <v>70</v>
      </c>
      <c r="C113" s="37"/>
      <c r="D113" s="10" t="s">
        <v>93</v>
      </c>
      <c r="E113" s="10"/>
      <c r="F113" s="19" t="s">
        <v>94</v>
      </c>
      <c r="G113" s="159" t="s">
        <v>107</v>
      </c>
      <c r="H113" s="363">
        <f>+'Yr 1 Operating Statement of Act'!G115</f>
        <v>0</v>
      </c>
      <c r="I113" s="364"/>
      <c r="J113" s="364"/>
      <c r="K113" s="364"/>
      <c r="L113" s="364"/>
      <c r="M113" s="364"/>
      <c r="N113" s="364"/>
      <c r="O113" s="364"/>
      <c r="P113" s="364"/>
      <c r="Q113" s="364"/>
      <c r="R113" s="364"/>
      <c r="S113" s="365"/>
      <c r="T113" s="365">
        <f t="shared" ref="T113:T124" si="33">SUM(H113:S113)</f>
        <v>0</v>
      </c>
      <c r="U113" s="365"/>
      <c r="V113" s="365">
        <f t="shared" si="27"/>
        <v>0</v>
      </c>
    </row>
    <row r="114" spans="1:22" x14ac:dyDescent="0.2">
      <c r="A114" s="3" t="s">
        <v>440</v>
      </c>
      <c r="B114" s="225">
        <v>71</v>
      </c>
      <c r="C114" s="37"/>
      <c r="D114" s="10" t="s">
        <v>95</v>
      </c>
      <c r="E114" s="10"/>
      <c r="F114" s="19" t="s">
        <v>96</v>
      </c>
      <c r="G114" s="159" t="s">
        <v>107</v>
      </c>
      <c r="H114" s="363">
        <f>+'Yr 1 Operating Statement of Act'!G116</f>
        <v>0</v>
      </c>
      <c r="I114" s="364"/>
      <c r="J114" s="364"/>
      <c r="K114" s="364"/>
      <c r="L114" s="364"/>
      <c r="M114" s="364"/>
      <c r="N114" s="364"/>
      <c r="O114" s="364"/>
      <c r="P114" s="364"/>
      <c r="Q114" s="364"/>
      <c r="R114" s="364"/>
      <c r="S114" s="365"/>
      <c r="T114" s="365">
        <f t="shared" si="33"/>
        <v>0</v>
      </c>
      <c r="U114" s="365"/>
      <c r="V114" s="365">
        <f t="shared" si="27"/>
        <v>0</v>
      </c>
    </row>
    <row r="115" spans="1:22" x14ac:dyDescent="0.2">
      <c r="A115" s="3" t="s">
        <v>440</v>
      </c>
      <c r="B115" s="225">
        <v>72</v>
      </c>
      <c r="C115" s="37"/>
      <c r="D115" s="10" t="s">
        <v>295</v>
      </c>
      <c r="E115" s="10"/>
      <c r="F115" s="19" t="s">
        <v>97</v>
      </c>
      <c r="G115" s="159" t="s">
        <v>34</v>
      </c>
      <c r="H115" s="363">
        <f>+'Yr 1 Operating Statement of Act'!$G117/12</f>
        <v>1585.0277946576389</v>
      </c>
      <c r="I115" s="364">
        <f>+'Yr 1 Operating Statement of Act'!$G117/12</f>
        <v>1585.0277946576389</v>
      </c>
      <c r="J115" s="364">
        <f>+'Yr 1 Operating Statement of Act'!$G117/12</f>
        <v>1585.0277946576389</v>
      </c>
      <c r="K115" s="364">
        <f>+'Yr 1 Operating Statement of Act'!$G117/12</f>
        <v>1585.0277946576389</v>
      </c>
      <c r="L115" s="364">
        <f>+'Yr 1 Operating Statement of Act'!$G117/12</f>
        <v>1585.0277946576389</v>
      </c>
      <c r="M115" s="364">
        <f>+'Yr 1 Operating Statement of Act'!$G117/12</f>
        <v>1585.0277946576389</v>
      </c>
      <c r="N115" s="364">
        <f>+'Yr 1 Operating Statement of Act'!$G117/12</f>
        <v>1585.0277946576389</v>
      </c>
      <c r="O115" s="364">
        <f>+'Yr 1 Operating Statement of Act'!$G117/12</f>
        <v>1585.0277946576389</v>
      </c>
      <c r="P115" s="364">
        <f>+'Yr 1 Operating Statement of Act'!$G117/12</f>
        <v>1585.0277946576389</v>
      </c>
      <c r="Q115" s="364">
        <f>+'Yr 1 Operating Statement of Act'!$G117/12</f>
        <v>1585.0277946576389</v>
      </c>
      <c r="R115" s="364">
        <f>+'Yr 1 Operating Statement of Act'!$G117/12</f>
        <v>1585.0277946576389</v>
      </c>
      <c r="S115" s="365">
        <f>+'Yr 1 Operating Statement of Act'!$G117/12</f>
        <v>1585.0277946576389</v>
      </c>
      <c r="T115" s="365">
        <f t="shared" si="33"/>
        <v>19020.333535891667</v>
      </c>
      <c r="U115" s="365"/>
      <c r="V115" s="365">
        <f t="shared" si="27"/>
        <v>19020.333535891667</v>
      </c>
    </row>
    <row r="116" spans="1:22" x14ac:dyDescent="0.2">
      <c r="A116" s="3" t="s">
        <v>440</v>
      </c>
      <c r="B116" s="225">
        <v>73</v>
      </c>
      <c r="C116" s="37"/>
      <c r="D116" s="10" t="s">
        <v>98</v>
      </c>
      <c r="E116" s="10"/>
      <c r="F116" s="19" t="s">
        <v>99</v>
      </c>
      <c r="G116" s="159" t="s">
        <v>34</v>
      </c>
      <c r="H116" s="363">
        <f>+'Yr 1 Operating Statement of Act'!$G118/12</f>
        <v>1388.5416666666667</v>
      </c>
      <c r="I116" s="364">
        <f>+'Yr 1 Operating Statement of Act'!$G118/12</f>
        <v>1388.5416666666667</v>
      </c>
      <c r="J116" s="364">
        <f>+'Yr 1 Operating Statement of Act'!$G118/12</f>
        <v>1388.5416666666667</v>
      </c>
      <c r="K116" s="364">
        <f>+'Yr 1 Operating Statement of Act'!$G118/12</f>
        <v>1388.5416666666667</v>
      </c>
      <c r="L116" s="364">
        <f>+'Yr 1 Operating Statement of Act'!$G118/12</f>
        <v>1388.5416666666667</v>
      </c>
      <c r="M116" s="364">
        <f>+'Yr 1 Operating Statement of Act'!$G118/12</f>
        <v>1388.5416666666667</v>
      </c>
      <c r="N116" s="364">
        <f>+'Yr 1 Operating Statement of Act'!$G118/12</f>
        <v>1388.5416666666667</v>
      </c>
      <c r="O116" s="364">
        <f>+'Yr 1 Operating Statement of Act'!$G118/12</f>
        <v>1388.5416666666667</v>
      </c>
      <c r="P116" s="364">
        <f>+'Yr 1 Operating Statement of Act'!$G118/12</f>
        <v>1388.5416666666667</v>
      </c>
      <c r="Q116" s="364">
        <f>+'Yr 1 Operating Statement of Act'!$G118/12</f>
        <v>1388.5416666666667</v>
      </c>
      <c r="R116" s="364">
        <f>+'Yr 1 Operating Statement of Act'!$G118/12</f>
        <v>1388.5416666666667</v>
      </c>
      <c r="S116" s="365">
        <f>+'Yr 1 Operating Statement of Act'!$G118/12</f>
        <v>1388.5416666666667</v>
      </c>
      <c r="T116" s="365">
        <f t="shared" si="33"/>
        <v>16662.499999999996</v>
      </c>
      <c r="U116" s="365"/>
      <c r="V116" s="365">
        <f t="shared" si="27"/>
        <v>16662.499999999996</v>
      </c>
    </row>
    <row r="117" spans="1:22" x14ac:dyDescent="0.2">
      <c r="A117" s="3" t="s">
        <v>440</v>
      </c>
      <c r="B117" s="225">
        <v>74</v>
      </c>
      <c r="C117" s="37"/>
      <c r="D117" s="10" t="s">
        <v>100</v>
      </c>
      <c r="E117" s="10"/>
      <c r="F117" s="19" t="s">
        <v>101</v>
      </c>
      <c r="G117" s="159" t="s">
        <v>34</v>
      </c>
      <c r="H117" s="363">
        <f>+'Yr 1 Operating Statement of Act'!$G119/12</f>
        <v>324.73958333333331</v>
      </c>
      <c r="I117" s="364">
        <f>+'Yr 1 Operating Statement of Act'!$G119/12</f>
        <v>324.73958333333331</v>
      </c>
      <c r="J117" s="364">
        <f>+'Yr 1 Operating Statement of Act'!$G119/12</f>
        <v>324.73958333333331</v>
      </c>
      <c r="K117" s="364">
        <f>+'Yr 1 Operating Statement of Act'!$G119/12</f>
        <v>324.73958333333331</v>
      </c>
      <c r="L117" s="364">
        <f>+'Yr 1 Operating Statement of Act'!$G119/12</f>
        <v>324.73958333333331</v>
      </c>
      <c r="M117" s="364">
        <f>+'Yr 1 Operating Statement of Act'!$G119/12</f>
        <v>324.73958333333331</v>
      </c>
      <c r="N117" s="364">
        <f>+'Yr 1 Operating Statement of Act'!$G119/12</f>
        <v>324.73958333333331</v>
      </c>
      <c r="O117" s="364">
        <f>+'Yr 1 Operating Statement of Act'!$G119/12</f>
        <v>324.73958333333331</v>
      </c>
      <c r="P117" s="364">
        <f>+'Yr 1 Operating Statement of Act'!$G119/12</f>
        <v>324.73958333333331</v>
      </c>
      <c r="Q117" s="364">
        <f>+'Yr 1 Operating Statement of Act'!$G119/12</f>
        <v>324.73958333333331</v>
      </c>
      <c r="R117" s="364">
        <f>+'Yr 1 Operating Statement of Act'!$G119/12</f>
        <v>324.73958333333331</v>
      </c>
      <c r="S117" s="365">
        <f>+'Yr 1 Operating Statement of Act'!$G119/12</f>
        <v>324.73958333333331</v>
      </c>
      <c r="T117" s="365">
        <f t="shared" si="33"/>
        <v>3896.8750000000005</v>
      </c>
      <c r="U117" s="365"/>
      <c r="V117" s="365">
        <f t="shared" si="27"/>
        <v>3896.8750000000005</v>
      </c>
    </row>
    <row r="118" spans="1:22" x14ac:dyDescent="0.2">
      <c r="A118" s="3" t="s">
        <v>440</v>
      </c>
      <c r="B118" s="225">
        <v>75</v>
      </c>
      <c r="C118" s="37"/>
      <c r="D118" s="10" t="s">
        <v>219</v>
      </c>
      <c r="E118" s="10"/>
      <c r="F118" s="19" t="s">
        <v>220</v>
      </c>
      <c r="G118" s="159">
        <v>1200</v>
      </c>
      <c r="H118" s="363">
        <f>+'Yr 1 Operating Statement of Act'!$G120/12</f>
        <v>719.55767360013886</v>
      </c>
      <c r="I118" s="364">
        <f>+'Yr 1 Operating Statement of Act'!$G120/12</f>
        <v>719.55767360013886</v>
      </c>
      <c r="J118" s="364">
        <f>+'Yr 1 Operating Statement of Act'!$G120/12</f>
        <v>719.55767360013886</v>
      </c>
      <c r="K118" s="364">
        <f>+'Yr 1 Operating Statement of Act'!$G120/12</f>
        <v>719.55767360013886</v>
      </c>
      <c r="L118" s="364">
        <f>+'Yr 1 Operating Statement of Act'!$G120/12</f>
        <v>719.55767360013886</v>
      </c>
      <c r="M118" s="364">
        <f>+'Yr 1 Operating Statement of Act'!$G120/12</f>
        <v>719.55767360013886</v>
      </c>
      <c r="N118" s="364">
        <f>+'Yr 1 Operating Statement of Act'!$G120/12</f>
        <v>719.55767360013886</v>
      </c>
      <c r="O118" s="364">
        <f>+'Yr 1 Operating Statement of Act'!$G120/12</f>
        <v>719.55767360013886</v>
      </c>
      <c r="P118" s="364">
        <f>+'Yr 1 Operating Statement of Act'!$G120/12</f>
        <v>719.55767360013886</v>
      </c>
      <c r="Q118" s="364">
        <f>+'Yr 1 Operating Statement of Act'!$G120/12</f>
        <v>719.55767360013886</v>
      </c>
      <c r="R118" s="364">
        <f>+'Yr 1 Operating Statement of Act'!$G120/12</f>
        <v>719.55767360013886</v>
      </c>
      <c r="S118" s="365">
        <f>+'Yr 1 Operating Statement of Act'!$G120/12</f>
        <v>719.55767360013886</v>
      </c>
      <c r="T118" s="365">
        <f t="shared" si="33"/>
        <v>8634.692083201664</v>
      </c>
      <c r="U118" s="365"/>
      <c r="V118" s="365">
        <f t="shared" si="27"/>
        <v>8634.692083201664</v>
      </c>
    </row>
    <row r="119" spans="1:22" x14ac:dyDescent="0.2">
      <c r="A119" s="3" t="s">
        <v>440</v>
      </c>
      <c r="B119" s="225">
        <v>76</v>
      </c>
      <c r="C119" s="37"/>
      <c r="D119" s="10" t="s">
        <v>102</v>
      </c>
      <c r="E119" s="10"/>
      <c r="F119" s="19" t="s">
        <v>103</v>
      </c>
      <c r="G119" s="159" t="s">
        <v>34</v>
      </c>
      <c r="H119" s="363">
        <f>+'Yr 1 Operating Statement of Act'!$G121/12</f>
        <v>22.395833333333332</v>
      </c>
      <c r="I119" s="364">
        <f>+'Yr 1 Operating Statement of Act'!$G121/12</f>
        <v>22.395833333333332</v>
      </c>
      <c r="J119" s="364">
        <f>+'Yr 1 Operating Statement of Act'!$G121/12</f>
        <v>22.395833333333332</v>
      </c>
      <c r="K119" s="364">
        <f>+'Yr 1 Operating Statement of Act'!$G121/12</f>
        <v>22.395833333333332</v>
      </c>
      <c r="L119" s="364">
        <f>+'Yr 1 Operating Statement of Act'!$G121/12</f>
        <v>22.395833333333332</v>
      </c>
      <c r="M119" s="364">
        <f>+'Yr 1 Operating Statement of Act'!$G121/12</f>
        <v>22.395833333333332</v>
      </c>
      <c r="N119" s="364">
        <f>+'Yr 1 Operating Statement of Act'!$G121/12</f>
        <v>22.395833333333332</v>
      </c>
      <c r="O119" s="364">
        <f>+'Yr 1 Operating Statement of Act'!$G121/12</f>
        <v>22.395833333333332</v>
      </c>
      <c r="P119" s="364">
        <f>+'Yr 1 Operating Statement of Act'!$G121/12</f>
        <v>22.395833333333332</v>
      </c>
      <c r="Q119" s="364">
        <f>+'Yr 1 Operating Statement of Act'!$G121/12</f>
        <v>22.395833333333332</v>
      </c>
      <c r="R119" s="364">
        <f>+'Yr 1 Operating Statement of Act'!$G121/12</f>
        <v>22.395833333333332</v>
      </c>
      <c r="S119" s="365">
        <f>+'Yr 1 Operating Statement of Act'!$G121/12</f>
        <v>22.395833333333332</v>
      </c>
      <c r="T119" s="365">
        <f t="shared" si="33"/>
        <v>268.75000000000006</v>
      </c>
      <c r="U119" s="365"/>
      <c r="V119" s="365">
        <f t="shared" si="27"/>
        <v>268.75000000000006</v>
      </c>
    </row>
    <row r="120" spans="1:22" x14ac:dyDescent="0.2">
      <c r="A120" s="3" t="s">
        <v>440</v>
      </c>
      <c r="B120" s="225">
        <v>77</v>
      </c>
      <c r="C120" s="37"/>
      <c r="D120" s="10" t="s">
        <v>104</v>
      </c>
      <c r="E120" s="10"/>
      <c r="F120" s="19" t="s">
        <v>105</v>
      </c>
      <c r="G120" s="159" t="s">
        <v>34</v>
      </c>
      <c r="H120" s="363">
        <f>+'Yr 1 Operating Statement of Act'!G122</f>
        <v>0</v>
      </c>
      <c r="I120" s="364"/>
      <c r="J120" s="364"/>
      <c r="K120" s="364"/>
      <c r="L120" s="364"/>
      <c r="M120" s="364"/>
      <c r="N120" s="364"/>
      <c r="O120" s="364"/>
      <c r="P120" s="364"/>
      <c r="Q120" s="364"/>
      <c r="R120" s="364"/>
      <c r="S120" s="365"/>
      <c r="T120" s="365">
        <f t="shared" si="33"/>
        <v>0</v>
      </c>
      <c r="U120" s="365"/>
      <c r="V120" s="365">
        <f t="shared" si="27"/>
        <v>0</v>
      </c>
    </row>
    <row r="121" spans="1:22" x14ac:dyDescent="0.2">
      <c r="A121" s="3" t="s">
        <v>440</v>
      </c>
      <c r="B121" s="225">
        <v>78</v>
      </c>
      <c r="C121" s="37"/>
      <c r="D121" s="86" t="s">
        <v>283</v>
      </c>
      <c r="E121" s="10"/>
      <c r="F121" s="19"/>
      <c r="G121" s="159"/>
      <c r="H121" s="363"/>
      <c r="I121" s="364"/>
      <c r="J121" s="364"/>
      <c r="K121" s="364"/>
      <c r="L121" s="364"/>
      <c r="M121" s="364"/>
      <c r="N121" s="364"/>
      <c r="O121" s="364"/>
      <c r="P121" s="364"/>
      <c r="Q121" s="364"/>
      <c r="R121" s="364"/>
      <c r="S121" s="365"/>
      <c r="T121" s="365">
        <f t="shared" si="33"/>
        <v>0</v>
      </c>
      <c r="U121" s="365"/>
      <c r="V121" s="365">
        <f t="shared" si="27"/>
        <v>0</v>
      </c>
    </row>
    <row r="122" spans="1:22" x14ac:dyDescent="0.2">
      <c r="A122" s="3" t="s">
        <v>440</v>
      </c>
      <c r="B122" s="225">
        <v>79</v>
      </c>
      <c r="C122" s="37"/>
      <c r="D122" s="86"/>
      <c r="E122" s="10"/>
      <c r="F122" s="19"/>
      <c r="G122" s="159"/>
      <c r="H122" s="363"/>
      <c r="I122" s="364"/>
      <c r="J122" s="364"/>
      <c r="K122" s="364"/>
      <c r="L122" s="364"/>
      <c r="M122" s="364"/>
      <c r="N122" s="364"/>
      <c r="O122" s="364"/>
      <c r="P122" s="364"/>
      <c r="Q122" s="364"/>
      <c r="R122" s="364"/>
      <c r="S122" s="365"/>
      <c r="T122" s="365">
        <f t="shared" si="33"/>
        <v>0</v>
      </c>
      <c r="U122" s="365"/>
      <c r="V122" s="365">
        <f t="shared" si="27"/>
        <v>0</v>
      </c>
    </row>
    <row r="123" spans="1:22" x14ac:dyDescent="0.2">
      <c r="A123" s="3" t="s">
        <v>440</v>
      </c>
      <c r="B123" s="225">
        <v>80</v>
      </c>
      <c r="C123" s="37"/>
      <c r="D123" s="86"/>
      <c r="E123" s="10"/>
      <c r="F123" s="19"/>
      <c r="G123" s="159"/>
      <c r="H123" s="363"/>
      <c r="I123" s="364"/>
      <c r="J123" s="364"/>
      <c r="K123" s="364"/>
      <c r="L123" s="364"/>
      <c r="M123" s="364"/>
      <c r="N123" s="364"/>
      <c r="O123" s="364"/>
      <c r="P123" s="364"/>
      <c r="Q123" s="364"/>
      <c r="R123" s="364"/>
      <c r="S123" s="365"/>
      <c r="T123" s="365">
        <f t="shared" si="33"/>
        <v>0</v>
      </c>
      <c r="U123" s="365"/>
      <c r="V123" s="365">
        <f t="shared" si="27"/>
        <v>0</v>
      </c>
    </row>
    <row r="124" spans="1:22" x14ac:dyDescent="0.2">
      <c r="A124" s="3" t="s">
        <v>440</v>
      </c>
      <c r="B124" s="225">
        <v>81</v>
      </c>
      <c r="D124" s="3"/>
      <c r="F124" s="15"/>
      <c r="G124" s="167"/>
      <c r="H124" s="396"/>
      <c r="I124" s="367"/>
      <c r="J124" s="367"/>
      <c r="K124" s="367"/>
      <c r="L124" s="367"/>
      <c r="M124" s="367"/>
      <c r="N124" s="367"/>
      <c r="O124" s="367"/>
      <c r="P124" s="367"/>
      <c r="Q124" s="367"/>
      <c r="R124" s="367"/>
      <c r="S124" s="397"/>
      <c r="T124" s="365">
        <f t="shared" si="33"/>
        <v>0</v>
      </c>
      <c r="U124" s="365"/>
      <c r="V124" s="365">
        <f t="shared" si="27"/>
        <v>0</v>
      </c>
    </row>
    <row r="125" spans="1:22" ht="15" x14ac:dyDescent="0.25">
      <c r="A125" s="3" t="s">
        <v>440</v>
      </c>
      <c r="B125" s="226">
        <v>82</v>
      </c>
      <c r="C125" s="88" t="s">
        <v>7</v>
      </c>
      <c r="D125" s="52"/>
      <c r="E125" s="52"/>
      <c r="F125" s="50"/>
      <c r="G125" s="163"/>
      <c r="H125" s="372">
        <f t="shared" ref="H125:U125" si="34">SUM(H103:H124)</f>
        <v>27624.402336537347</v>
      </c>
      <c r="I125" s="373">
        <f t="shared" si="34"/>
        <v>27327.325723634123</v>
      </c>
      <c r="J125" s="373">
        <f t="shared" si="34"/>
        <v>30584.712087270487</v>
      </c>
      <c r="K125" s="373">
        <f t="shared" si="34"/>
        <v>30199.558128326207</v>
      </c>
      <c r="L125" s="373">
        <f t="shared" si="34"/>
        <v>30392.135107798345</v>
      </c>
      <c r="M125" s="373">
        <f t="shared" si="34"/>
        <v>29814.404169381924</v>
      </c>
      <c r="N125" s="373">
        <f t="shared" si="34"/>
        <v>29044.09625149336</v>
      </c>
      <c r="O125" s="373">
        <f t="shared" si="34"/>
        <v>30584.712087270487</v>
      </c>
      <c r="P125" s="373">
        <f t="shared" si="34"/>
        <v>30584.712087270487</v>
      </c>
      <c r="Q125" s="373">
        <f t="shared" si="34"/>
        <v>29236.673230965502</v>
      </c>
      <c r="R125" s="373">
        <f t="shared" si="34"/>
        <v>30777.289066742629</v>
      </c>
      <c r="S125" s="374">
        <f t="shared" si="34"/>
        <v>30304.057761757289</v>
      </c>
      <c r="T125" s="374">
        <f t="shared" si="34"/>
        <v>356474.07803844818</v>
      </c>
      <c r="U125" s="374">
        <f t="shared" si="34"/>
        <v>594.15322580645159</v>
      </c>
      <c r="V125" s="374">
        <f t="shared" si="27"/>
        <v>357068.2312642546</v>
      </c>
    </row>
    <row r="126" spans="1:22" x14ac:dyDescent="0.2">
      <c r="A126" s="3" t="s">
        <v>440</v>
      </c>
      <c r="B126" s="225"/>
      <c r="F126" s="15"/>
      <c r="G126" s="167"/>
      <c r="H126" s="380"/>
      <c r="I126" s="381"/>
      <c r="J126" s="381"/>
      <c r="K126" s="381"/>
      <c r="L126" s="381"/>
      <c r="M126" s="381"/>
      <c r="N126" s="381"/>
      <c r="O126" s="381"/>
      <c r="P126" s="381"/>
      <c r="Q126" s="381"/>
      <c r="R126" s="381"/>
      <c r="S126" s="382"/>
      <c r="T126" s="382"/>
      <c r="U126" s="382"/>
      <c r="V126" s="382"/>
    </row>
    <row r="127" spans="1:22" x14ac:dyDescent="0.2">
      <c r="A127" s="3" t="s">
        <v>440</v>
      </c>
      <c r="B127" s="223"/>
      <c r="C127" s="112" t="s">
        <v>276</v>
      </c>
      <c r="D127" s="113"/>
      <c r="E127" s="114"/>
      <c r="F127" s="62"/>
      <c r="G127" s="158"/>
      <c r="H127" s="378"/>
      <c r="I127" s="366"/>
      <c r="J127" s="366"/>
      <c r="K127" s="366"/>
      <c r="L127" s="366"/>
      <c r="M127" s="366"/>
      <c r="N127" s="366"/>
      <c r="O127" s="366"/>
      <c r="P127" s="366"/>
      <c r="Q127" s="366"/>
      <c r="R127" s="366"/>
      <c r="S127" s="379"/>
      <c r="T127" s="379"/>
      <c r="U127" s="379"/>
      <c r="V127" s="379"/>
    </row>
    <row r="128" spans="1:22" s="5" customFormat="1" ht="14.25" customHeight="1" x14ac:dyDescent="0.25">
      <c r="A128" s="3" t="s">
        <v>440</v>
      </c>
      <c r="B128" s="228"/>
      <c r="C128" s="90" t="s">
        <v>275</v>
      </c>
      <c r="D128" s="111"/>
      <c r="E128" s="111"/>
      <c r="F128" s="78"/>
      <c r="G128" s="170"/>
      <c r="H128" s="391"/>
      <c r="I128" s="392"/>
      <c r="J128" s="392"/>
      <c r="K128" s="392"/>
      <c r="L128" s="392"/>
      <c r="M128" s="392"/>
      <c r="N128" s="392"/>
      <c r="O128" s="392"/>
      <c r="P128" s="392"/>
      <c r="Q128" s="392"/>
      <c r="R128" s="392"/>
      <c r="S128" s="393"/>
      <c r="T128" s="393"/>
      <c r="U128" s="393"/>
      <c r="V128" s="379"/>
    </row>
    <row r="129" spans="1:22" s="5" customFormat="1" ht="13.5" customHeight="1" x14ac:dyDescent="0.25">
      <c r="A129" s="3" t="s">
        <v>440</v>
      </c>
      <c r="B129" s="225"/>
      <c r="C129" s="80"/>
      <c r="D129" s="10" t="s">
        <v>76</v>
      </c>
      <c r="F129" s="62"/>
      <c r="G129" s="158"/>
      <c r="H129" s="391"/>
      <c r="I129" s="392"/>
      <c r="J129" s="392"/>
      <c r="K129" s="392"/>
      <c r="L129" s="392"/>
      <c r="M129" s="392"/>
      <c r="N129" s="392"/>
      <c r="O129" s="392"/>
      <c r="P129" s="392"/>
      <c r="Q129" s="392"/>
      <c r="R129" s="392"/>
      <c r="S129" s="393"/>
      <c r="T129" s="393"/>
      <c r="U129" s="393"/>
      <c r="V129" s="379"/>
    </row>
    <row r="130" spans="1:22" x14ac:dyDescent="0.2">
      <c r="A130" s="3" t="s">
        <v>440</v>
      </c>
      <c r="B130" s="225">
        <v>83</v>
      </c>
      <c r="C130" s="37"/>
      <c r="D130" s="10"/>
      <c r="E130" s="10" t="s">
        <v>117</v>
      </c>
      <c r="F130" s="19">
        <v>112</v>
      </c>
      <c r="G130" s="159" t="s">
        <v>221</v>
      </c>
      <c r="H130" s="363">
        <f>+'Yr 1 Operating Statement of Act'!$G132/12</f>
        <v>8416.6666666666661</v>
      </c>
      <c r="I130" s="364">
        <f>+'Yr 1 Operating Statement of Act'!$G132/12</f>
        <v>8416.6666666666661</v>
      </c>
      <c r="J130" s="364">
        <f>+'Yr 1 Operating Statement of Act'!$G132/12</f>
        <v>8416.6666666666661</v>
      </c>
      <c r="K130" s="364">
        <f>+'Yr 1 Operating Statement of Act'!$G132/12</f>
        <v>8416.6666666666661</v>
      </c>
      <c r="L130" s="364">
        <f>+'Yr 1 Operating Statement of Act'!$G132/12</f>
        <v>8416.6666666666661</v>
      </c>
      <c r="M130" s="364">
        <f>+'Yr 1 Operating Statement of Act'!$G132/12</f>
        <v>8416.6666666666661</v>
      </c>
      <c r="N130" s="364">
        <f>+'Yr 1 Operating Statement of Act'!$G132/12</f>
        <v>8416.6666666666661</v>
      </c>
      <c r="O130" s="364">
        <f>+'Yr 1 Operating Statement of Act'!$G132/12</f>
        <v>8416.6666666666661</v>
      </c>
      <c r="P130" s="364">
        <f>+'Yr 1 Operating Statement of Act'!$G132/12</f>
        <v>8416.6666666666661</v>
      </c>
      <c r="Q130" s="364">
        <f>+'Yr 1 Operating Statement of Act'!$G132/12</f>
        <v>8416.6666666666661</v>
      </c>
      <c r="R130" s="364">
        <f>+'Yr 1 Operating Statement of Act'!$G132/12</f>
        <v>8416.6666666666661</v>
      </c>
      <c r="S130" s="365">
        <f>+'Yr 1 Operating Statement of Act'!$G132/12</f>
        <v>8416.6666666666661</v>
      </c>
      <c r="T130" s="365">
        <f t="shared" ref="T130:T135" si="35">SUM(H130:S130)</f>
        <v>101000.00000000001</v>
      </c>
      <c r="U130" s="365"/>
      <c r="V130" s="365">
        <f t="shared" si="27"/>
        <v>101000.00000000001</v>
      </c>
    </row>
    <row r="131" spans="1:22" x14ac:dyDescent="0.2">
      <c r="A131" s="3" t="s">
        <v>440</v>
      </c>
      <c r="B131" s="225">
        <v>84</v>
      </c>
      <c r="C131" s="37"/>
      <c r="D131" s="10"/>
      <c r="E131" s="10" t="s">
        <v>78</v>
      </c>
      <c r="F131" s="19">
        <v>115</v>
      </c>
      <c r="G131" s="159" t="s">
        <v>221</v>
      </c>
      <c r="H131" s="363">
        <f>+'Yr 1 Operating Statement of Act'!G133</f>
        <v>0</v>
      </c>
      <c r="I131" s="364"/>
      <c r="J131" s="364"/>
      <c r="K131" s="364"/>
      <c r="L131" s="364"/>
      <c r="M131" s="364"/>
      <c r="N131" s="364"/>
      <c r="O131" s="364"/>
      <c r="P131" s="364"/>
      <c r="Q131" s="364"/>
      <c r="R131" s="364"/>
      <c r="S131" s="365"/>
      <c r="T131" s="365">
        <f t="shared" si="35"/>
        <v>0</v>
      </c>
      <c r="U131" s="365"/>
      <c r="V131" s="365">
        <f t="shared" si="27"/>
        <v>0</v>
      </c>
    </row>
    <row r="132" spans="1:22" x14ac:dyDescent="0.2">
      <c r="A132" s="3" t="s">
        <v>440</v>
      </c>
      <c r="B132" s="225">
        <v>85</v>
      </c>
      <c r="C132" s="37"/>
      <c r="D132" s="10"/>
      <c r="E132" s="10" t="s">
        <v>81</v>
      </c>
      <c r="F132" s="19">
        <v>123</v>
      </c>
      <c r="G132" s="159" t="s">
        <v>221</v>
      </c>
      <c r="H132" s="363">
        <f>+'Yr 1 Operating Statement of Act'!G134</f>
        <v>0</v>
      </c>
      <c r="I132" s="364"/>
      <c r="J132" s="364"/>
      <c r="K132" s="364"/>
      <c r="L132" s="364"/>
      <c r="M132" s="364"/>
      <c r="N132" s="364"/>
      <c r="O132" s="364"/>
      <c r="P132" s="364"/>
      <c r="Q132" s="364"/>
      <c r="R132" s="364"/>
      <c r="S132" s="365"/>
      <c r="T132" s="365">
        <f t="shared" si="35"/>
        <v>0</v>
      </c>
      <c r="U132" s="365"/>
      <c r="V132" s="365">
        <f t="shared" si="27"/>
        <v>0</v>
      </c>
    </row>
    <row r="133" spans="1:22" x14ac:dyDescent="0.2">
      <c r="A133" s="3" t="s">
        <v>440</v>
      </c>
      <c r="B133" s="225">
        <v>86</v>
      </c>
      <c r="C133" s="37"/>
      <c r="D133" s="10" t="s">
        <v>83</v>
      </c>
      <c r="E133" s="10"/>
      <c r="F133" s="19" t="s">
        <v>84</v>
      </c>
      <c r="G133" s="159" t="s">
        <v>221</v>
      </c>
      <c r="H133" s="363">
        <f>+'Yr 1 Operating Statement of Act'!$G135*0</f>
        <v>0</v>
      </c>
      <c r="I133" s="364">
        <f>+'Yr 1 Operating Statement of Act'!$G135*0</f>
        <v>0</v>
      </c>
      <c r="J133" s="364">
        <f>+'Yr 1 Operating Statement of Act'!$G135*'KIPP Assumptions'!$C$118</f>
        <v>0</v>
      </c>
      <c r="K133" s="364">
        <f>+'Yr 1 Operating Statement of Act'!$G135*'KIPP Assumptions'!$C$119</f>
        <v>0</v>
      </c>
      <c r="L133" s="364">
        <f>+'Yr 1 Operating Statement of Act'!$G135*'KIPP Assumptions'!$C$120</f>
        <v>0</v>
      </c>
      <c r="M133" s="364">
        <f>+'Yr 1 Operating Statement of Act'!$G135*'KIPP Assumptions'!$C$121</f>
        <v>0</v>
      </c>
      <c r="N133" s="364">
        <f>+'Yr 1 Operating Statement of Act'!$G135*'KIPP Assumptions'!$C$122</f>
        <v>0</v>
      </c>
      <c r="O133" s="364">
        <f>+'Yr 1 Operating Statement of Act'!$G135*'KIPP Assumptions'!$C$123</f>
        <v>0</v>
      </c>
      <c r="P133" s="364">
        <f>+'Yr 1 Operating Statement of Act'!$G135*'KIPP Assumptions'!$C$124</f>
        <v>0</v>
      </c>
      <c r="Q133" s="364">
        <f>+'Yr 1 Operating Statement of Act'!$G135*'KIPP Assumptions'!$C$125</f>
        <v>0</v>
      </c>
      <c r="R133" s="364">
        <f>+'Yr 1 Operating Statement of Act'!$G135*'KIPP Assumptions'!$C$126</f>
        <v>0</v>
      </c>
      <c r="S133" s="365">
        <f>+'Yr 1 Operating Statement of Act'!$G135*'KIPP Assumptions'!$C$127</f>
        <v>0</v>
      </c>
      <c r="T133" s="365">
        <f t="shared" si="35"/>
        <v>0</v>
      </c>
      <c r="U133" s="365"/>
      <c r="V133" s="365">
        <f t="shared" si="27"/>
        <v>0</v>
      </c>
    </row>
    <row r="134" spans="1:22" x14ac:dyDescent="0.2">
      <c r="A134" s="3" t="s">
        <v>440</v>
      </c>
      <c r="B134" s="225">
        <v>87</v>
      </c>
      <c r="C134" s="37"/>
      <c r="D134" s="10" t="s">
        <v>85</v>
      </c>
      <c r="E134" s="10"/>
      <c r="F134" s="19">
        <v>430</v>
      </c>
      <c r="G134" s="159" t="s">
        <v>221</v>
      </c>
      <c r="H134" s="363">
        <f>+'Yr 1 Operating Statement of Act'!G136</f>
        <v>0</v>
      </c>
      <c r="I134" s="364"/>
      <c r="J134" s="364"/>
      <c r="K134" s="364"/>
      <c r="L134" s="364"/>
      <c r="M134" s="364"/>
      <c r="N134" s="364"/>
      <c r="O134" s="364"/>
      <c r="P134" s="364"/>
      <c r="Q134" s="364"/>
      <c r="R134" s="364"/>
      <c r="S134" s="365"/>
      <c r="T134" s="365">
        <f t="shared" si="35"/>
        <v>0</v>
      </c>
      <c r="U134" s="365"/>
      <c r="V134" s="365">
        <f t="shared" si="27"/>
        <v>0</v>
      </c>
    </row>
    <row r="135" spans="1:22" x14ac:dyDescent="0.2">
      <c r="A135" s="3" t="s">
        <v>440</v>
      </c>
      <c r="B135" s="225">
        <v>88</v>
      </c>
      <c r="C135" s="37"/>
      <c r="D135" s="10" t="s">
        <v>87</v>
      </c>
      <c r="E135" s="10"/>
      <c r="F135" s="19" t="s">
        <v>88</v>
      </c>
      <c r="G135" s="159" t="s">
        <v>221</v>
      </c>
      <c r="H135" s="363">
        <f>+'Yr 1 Operating Statement of Act'!G137</f>
        <v>0</v>
      </c>
      <c r="I135" s="364"/>
      <c r="J135" s="364"/>
      <c r="K135" s="364"/>
      <c r="L135" s="364"/>
      <c r="M135" s="364"/>
      <c r="N135" s="364"/>
      <c r="O135" s="364"/>
      <c r="P135" s="364"/>
      <c r="Q135" s="364"/>
      <c r="R135" s="364"/>
      <c r="S135" s="365"/>
      <c r="T135" s="365">
        <f t="shared" si="35"/>
        <v>0</v>
      </c>
      <c r="U135" s="365"/>
      <c r="V135" s="365">
        <f t="shared" si="27"/>
        <v>0</v>
      </c>
    </row>
    <row r="136" spans="1:22" x14ac:dyDescent="0.2">
      <c r="A136" s="3" t="s">
        <v>440</v>
      </c>
      <c r="B136" s="225"/>
      <c r="C136" s="37"/>
      <c r="D136" s="10" t="s">
        <v>109</v>
      </c>
      <c r="E136" s="10"/>
      <c r="F136" s="62"/>
      <c r="G136" s="158"/>
      <c r="H136" s="378"/>
      <c r="I136" s="366"/>
      <c r="J136" s="366"/>
      <c r="K136" s="366"/>
      <c r="L136" s="366"/>
      <c r="M136" s="366"/>
      <c r="N136" s="366"/>
      <c r="O136" s="366"/>
      <c r="P136" s="366"/>
      <c r="Q136" s="366"/>
      <c r="R136" s="366"/>
      <c r="S136" s="379"/>
      <c r="T136" s="379"/>
      <c r="U136" s="379"/>
      <c r="V136" s="379"/>
    </row>
    <row r="137" spans="1:22" x14ac:dyDescent="0.2">
      <c r="A137" s="3" t="s">
        <v>440</v>
      </c>
      <c r="B137" s="225">
        <v>89</v>
      </c>
      <c r="C137" s="37"/>
      <c r="D137" s="10"/>
      <c r="E137" s="10" t="s">
        <v>110</v>
      </c>
      <c r="F137" s="19" t="s">
        <v>90</v>
      </c>
      <c r="G137" s="159" t="s">
        <v>221</v>
      </c>
      <c r="H137" s="363">
        <f>+'Yr 1 Operating Statement of Act'!$G139*0.2</f>
        <v>4991.4516129032272</v>
      </c>
      <c r="I137" s="364">
        <f>+'Yr 1 Operating Statement of Act'!$G139*0.15</f>
        <v>3743.5887096774195</v>
      </c>
      <c r="J137" s="364">
        <f>+'Yr 1 Operating Statement of Act'!$G139*0.05</f>
        <v>1247.8629032258068</v>
      </c>
      <c r="K137" s="364">
        <f>+'Yr 1 Operating Statement of Act'!$G139*0.05</f>
        <v>1247.8629032258068</v>
      </c>
      <c r="L137" s="364">
        <f>+'Yr 1 Operating Statement of Act'!$G139*0.05</f>
        <v>1247.8629032258068</v>
      </c>
      <c r="M137" s="364">
        <f>+'Yr 1 Operating Statement of Act'!$G139*0.05</f>
        <v>1247.8629032258068</v>
      </c>
      <c r="N137" s="364">
        <f>+'Yr 1 Operating Statement of Act'!$G139*0.05</f>
        <v>1247.8629032258068</v>
      </c>
      <c r="O137" s="364">
        <f>+'Yr 1 Operating Statement of Act'!$G139*0.05</f>
        <v>1247.8629032258068</v>
      </c>
      <c r="P137" s="364">
        <f>+'Yr 1 Operating Statement of Act'!$G139*0.05</f>
        <v>1247.8629032258068</v>
      </c>
      <c r="Q137" s="364">
        <f>+'Yr 1 Operating Statement of Act'!$G139*0.05</f>
        <v>1247.8629032258068</v>
      </c>
      <c r="R137" s="364">
        <f>+'Yr 1 Operating Statement of Act'!$G139*0.05</f>
        <v>1247.8629032258068</v>
      </c>
      <c r="S137" s="365">
        <f>+'Yr 1 Operating Statement of Act'!$G139*0.1</f>
        <v>2495.7258064516136</v>
      </c>
      <c r="T137" s="365">
        <f t="shared" ref="T137:T138" si="36">SUM(H137:S137)</f>
        <v>22461.532258064522</v>
      </c>
      <c r="U137" s="365">
        <f>+'Yr 1 Operating Statement of Act'!$G139*0.1</f>
        <v>2495.7258064516136</v>
      </c>
      <c r="V137" s="365">
        <f t="shared" si="27"/>
        <v>24957.258064516136</v>
      </c>
    </row>
    <row r="138" spans="1:22" x14ac:dyDescent="0.2">
      <c r="A138" s="3" t="s">
        <v>440</v>
      </c>
      <c r="B138" s="225">
        <v>90</v>
      </c>
      <c r="C138" s="37"/>
      <c r="D138" s="10"/>
      <c r="E138" s="10" t="s">
        <v>91</v>
      </c>
      <c r="F138" s="19" t="s">
        <v>92</v>
      </c>
      <c r="G138" s="159" t="s">
        <v>221</v>
      </c>
      <c r="H138" s="363">
        <f>+'Yr 1 Operating Statement of Act'!$G140*0.5</f>
        <v>829.83870967741939</v>
      </c>
      <c r="I138" s="364">
        <f>+'Yr 1 Operating Statement of Act'!$G140*0</f>
        <v>0</v>
      </c>
      <c r="J138" s="364">
        <f>+'Yr 1 Operating Statement of Act'!$G140*0</f>
        <v>0</v>
      </c>
      <c r="K138" s="364">
        <f>+'Yr 1 Operating Statement of Act'!$G140*0</f>
        <v>0</v>
      </c>
      <c r="L138" s="364">
        <f>+'Yr 1 Operating Statement of Act'!$G140*0</f>
        <v>0</v>
      </c>
      <c r="M138" s="364">
        <v>0</v>
      </c>
      <c r="N138" s="364">
        <f>+'Yr 1 Operating Statement of Act'!$G140*0.2</f>
        <v>331.9354838709678</v>
      </c>
      <c r="O138" s="364">
        <f>+'Yr 1 Operating Statement of Act'!$G140*0</f>
        <v>0</v>
      </c>
      <c r="P138" s="364">
        <f>+'Yr 1 Operating Statement of Act'!$G140*0</f>
        <v>0</v>
      </c>
      <c r="Q138" s="364">
        <f>+'Yr 1 Operating Statement of Act'!$G140*0</f>
        <v>0</v>
      </c>
      <c r="R138" s="364">
        <f>+'Yr 1 Operating Statement of Act'!$G140*0</f>
        <v>0</v>
      </c>
      <c r="S138" s="365">
        <f>+'Yr 1 Operating Statement of Act'!$G140*0</f>
        <v>0</v>
      </c>
      <c r="T138" s="365">
        <f t="shared" si="36"/>
        <v>1161.7741935483873</v>
      </c>
      <c r="U138" s="365">
        <f>+'Yr 1 Operating Statement of Act'!$G140*0.3</f>
        <v>497.90322580645159</v>
      </c>
      <c r="V138" s="365">
        <f t="shared" ref="V138:V201" si="37">+T138+U138</f>
        <v>1659.677419354839</v>
      </c>
    </row>
    <row r="139" spans="1:22" x14ac:dyDescent="0.2">
      <c r="A139" s="3" t="s">
        <v>440</v>
      </c>
      <c r="B139" s="225">
        <v>91</v>
      </c>
      <c r="C139" s="37"/>
      <c r="D139" s="10" t="s">
        <v>242</v>
      </c>
      <c r="E139" s="10"/>
      <c r="F139" s="19" t="s">
        <v>243</v>
      </c>
      <c r="G139" s="159" t="s">
        <v>221</v>
      </c>
      <c r="H139" s="363">
        <f>+'Yr 1 Operating Statement of Act'!G141</f>
        <v>0</v>
      </c>
      <c r="I139" s="364"/>
      <c r="J139" s="364"/>
      <c r="K139" s="364"/>
      <c r="L139" s="364"/>
      <c r="M139" s="364"/>
      <c r="N139" s="364"/>
      <c r="O139" s="364"/>
      <c r="P139" s="364"/>
      <c r="Q139" s="364"/>
      <c r="R139" s="364"/>
      <c r="S139" s="365"/>
      <c r="T139" s="365">
        <f t="shared" ref="T139:T150" si="38">SUM(H139:S139)</f>
        <v>0</v>
      </c>
      <c r="U139" s="365"/>
      <c r="V139" s="365">
        <f t="shared" si="37"/>
        <v>0</v>
      </c>
    </row>
    <row r="140" spans="1:22" x14ac:dyDescent="0.2">
      <c r="A140" s="3" t="s">
        <v>440</v>
      </c>
      <c r="B140" s="225">
        <v>92</v>
      </c>
      <c r="C140" s="37"/>
      <c r="D140" s="10" t="s">
        <v>95</v>
      </c>
      <c r="E140" s="10"/>
      <c r="F140" s="19" t="s">
        <v>96</v>
      </c>
      <c r="G140" s="159" t="s">
        <v>221</v>
      </c>
      <c r="H140" s="363">
        <f>+'Yr 1 Operating Statement of Act'!$G142*0</f>
        <v>0</v>
      </c>
      <c r="I140" s="364">
        <f>+'Yr 1 Operating Statement of Act'!$G142*0</f>
        <v>0</v>
      </c>
      <c r="J140" s="364">
        <f>+'Yr 1 Operating Statement of Act'!$G142*'KIPP Assumptions'!$C$118</f>
        <v>96.224340175953074</v>
      </c>
      <c r="K140" s="364">
        <f>+'Yr 1 Operating Statement of Act'!$G142*'KIPP Assumptions'!$C$119</f>
        <v>86.601906158357778</v>
      </c>
      <c r="L140" s="364">
        <f>+'Yr 1 Operating Statement of Act'!$G142*'KIPP Assumptions'!$C$120</f>
        <v>91.413123167155419</v>
      </c>
      <c r="M140" s="364">
        <f>+'Yr 1 Operating Statement of Act'!$G142*'KIPP Assumptions'!$C$121</f>
        <v>76.979472140762468</v>
      </c>
      <c r="N140" s="364">
        <f>+'Yr 1 Operating Statement of Act'!$G142*'KIPP Assumptions'!$C$122</f>
        <v>57.73460410557184</v>
      </c>
      <c r="O140" s="364">
        <f>+'Yr 1 Operating Statement of Act'!$G142*'KIPP Assumptions'!$C$123</f>
        <v>96.224340175953074</v>
      </c>
      <c r="P140" s="364">
        <f>+'Yr 1 Operating Statement of Act'!$G142*'KIPP Assumptions'!$C$124</f>
        <v>96.224340175953074</v>
      </c>
      <c r="Q140" s="364">
        <f>+'Yr 1 Operating Statement of Act'!$G142*'KIPP Assumptions'!$C$125</f>
        <v>62.545821114369502</v>
      </c>
      <c r="R140" s="364">
        <f>+'Yr 1 Operating Statement of Act'!$G142*'KIPP Assumptions'!$C$126</f>
        <v>101.03555718475073</v>
      </c>
      <c r="S140" s="365">
        <f>+'Yr 1 Operating Statement of Act'!$G142*'KIPP Assumptions'!$C$127</f>
        <v>81.790689149560109</v>
      </c>
      <c r="T140" s="365">
        <f t="shared" si="38"/>
        <v>846.77419354838707</v>
      </c>
      <c r="U140" s="365"/>
      <c r="V140" s="365">
        <f t="shared" si="37"/>
        <v>846.77419354838707</v>
      </c>
    </row>
    <row r="141" spans="1:22" x14ac:dyDescent="0.2">
      <c r="A141" s="3" t="s">
        <v>440</v>
      </c>
      <c r="B141" s="225">
        <v>93</v>
      </c>
      <c r="C141" s="37"/>
      <c r="D141" s="10" t="s">
        <v>295</v>
      </c>
      <c r="E141" s="10"/>
      <c r="F141" s="19" t="s">
        <v>97</v>
      </c>
      <c r="G141" s="159" t="s">
        <v>221</v>
      </c>
      <c r="H141" s="363">
        <f>+'Yr 1 Operating Statement of Act'!$G143/12</f>
        <v>595.67556189924289</v>
      </c>
      <c r="I141" s="364">
        <f>+'Yr 1 Operating Statement of Act'!$G143/12</f>
        <v>595.67556189924289</v>
      </c>
      <c r="J141" s="364">
        <f>+'Yr 1 Operating Statement of Act'!$G143/12</f>
        <v>595.67556189924289</v>
      </c>
      <c r="K141" s="364">
        <f>+'Yr 1 Operating Statement of Act'!$G143/12</f>
        <v>595.67556189924289</v>
      </c>
      <c r="L141" s="364">
        <f>+'Yr 1 Operating Statement of Act'!$G143/12</f>
        <v>595.67556189924289</v>
      </c>
      <c r="M141" s="364">
        <f>+'Yr 1 Operating Statement of Act'!$G143/12</f>
        <v>595.67556189924289</v>
      </c>
      <c r="N141" s="364">
        <f>+'Yr 1 Operating Statement of Act'!$G143/12</f>
        <v>595.67556189924289</v>
      </c>
      <c r="O141" s="364">
        <f>+'Yr 1 Operating Statement of Act'!$G143/12</f>
        <v>595.67556189924289</v>
      </c>
      <c r="P141" s="364">
        <f>+'Yr 1 Operating Statement of Act'!$G143/12</f>
        <v>595.67556189924289</v>
      </c>
      <c r="Q141" s="364">
        <f>+'Yr 1 Operating Statement of Act'!$G143/12</f>
        <v>595.67556189924289</v>
      </c>
      <c r="R141" s="364">
        <f>+'Yr 1 Operating Statement of Act'!$G143/12</f>
        <v>595.67556189924289</v>
      </c>
      <c r="S141" s="365">
        <f>+'Yr 1 Operating Statement of Act'!$G143/12</f>
        <v>595.67556189924289</v>
      </c>
      <c r="T141" s="365">
        <f t="shared" si="38"/>
        <v>7148.1067427909147</v>
      </c>
      <c r="U141" s="365"/>
      <c r="V141" s="365">
        <f t="shared" si="37"/>
        <v>7148.1067427909147</v>
      </c>
    </row>
    <row r="142" spans="1:22" x14ac:dyDescent="0.2">
      <c r="A142" s="3" t="s">
        <v>440</v>
      </c>
      <c r="B142" s="225">
        <v>94</v>
      </c>
      <c r="C142" s="37"/>
      <c r="D142" s="10" t="s">
        <v>98</v>
      </c>
      <c r="E142" s="10"/>
      <c r="F142" s="19" t="s">
        <v>99</v>
      </c>
      <c r="G142" s="159" t="s">
        <v>221</v>
      </c>
      <c r="H142" s="363">
        <f>+'Yr 1 Operating Statement of Act'!$G144/12</f>
        <v>521.83333333333337</v>
      </c>
      <c r="I142" s="364">
        <f>+'Yr 1 Operating Statement of Act'!$G144/12</f>
        <v>521.83333333333337</v>
      </c>
      <c r="J142" s="364">
        <f>+'Yr 1 Operating Statement of Act'!$G144/12</f>
        <v>521.83333333333337</v>
      </c>
      <c r="K142" s="364">
        <f>+'Yr 1 Operating Statement of Act'!$G144/12</f>
        <v>521.83333333333337</v>
      </c>
      <c r="L142" s="364">
        <f>+'Yr 1 Operating Statement of Act'!$G144/12</f>
        <v>521.83333333333337</v>
      </c>
      <c r="M142" s="364">
        <f>+'Yr 1 Operating Statement of Act'!$G144/12</f>
        <v>521.83333333333337</v>
      </c>
      <c r="N142" s="364">
        <f>+'Yr 1 Operating Statement of Act'!$G144/12</f>
        <v>521.83333333333337</v>
      </c>
      <c r="O142" s="364">
        <f>+'Yr 1 Operating Statement of Act'!$G144/12</f>
        <v>521.83333333333337</v>
      </c>
      <c r="P142" s="364">
        <f>+'Yr 1 Operating Statement of Act'!$G144/12</f>
        <v>521.83333333333337</v>
      </c>
      <c r="Q142" s="364">
        <f>+'Yr 1 Operating Statement of Act'!$G144/12</f>
        <v>521.83333333333337</v>
      </c>
      <c r="R142" s="364">
        <f>+'Yr 1 Operating Statement of Act'!$G144/12</f>
        <v>521.83333333333337</v>
      </c>
      <c r="S142" s="365">
        <f>+'Yr 1 Operating Statement of Act'!$G144/12</f>
        <v>521.83333333333337</v>
      </c>
      <c r="T142" s="365">
        <f t="shared" si="38"/>
        <v>6261.9999999999991</v>
      </c>
      <c r="U142" s="365"/>
      <c r="V142" s="365">
        <f t="shared" si="37"/>
        <v>6261.9999999999991</v>
      </c>
    </row>
    <row r="143" spans="1:22" x14ac:dyDescent="0.2">
      <c r="A143" s="3" t="s">
        <v>440</v>
      </c>
      <c r="B143" s="225">
        <v>95</v>
      </c>
      <c r="C143" s="37"/>
      <c r="D143" s="10" t="s">
        <v>100</v>
      </c>
      <c r="E143" s="10"/>
      <c r="F143" s="19" t="s">
        <v>101</v>
      </c>
      <c r="G143" s="159" t="s">
        <v>221</v>
      </c>
      <c r="H143" s="363">
        <f>+'Yr 1 Operating Statement of Act'!$G145/12</f>
        <v>122.04166666666667</v>
      </c>
      <c r="I143" s="364">
        <f>+'Yr 1 Operating Statement of Act'!$G145/12</f>
        <v>122.04166666666667</v>
      </c>
      <c r="J143" s="364">
        <f>+'Yr 1 Operating Statement of Act'!$G145/12</f>
        <v>122.04166666666667</v>
      </c>
      <c r="K143" s="364">
        <f>+'Yr 1 Operating Statement of Act'!$G145/12</f>
        <v>122.04166666666667</v>
      </c>
      <c r="L143" s="364">
        <f>+'Yr 1 Operating Statement of Act'!$G145/12</f>
        <v>122.04166666666667</v>
      </c>
      <c r="M143" s="364">
        <f>+'Yr 1 Operating Statement of Act'!$G145/12</f>
        <v>122.04166666666667</v>
      </c>
      <c r="N143" s="364">
        <f>+'Yr 1 Operating Statement of Act'!$G145/12</f>
        <v>122.04166666666667</v>
      </c>
      <c r="O143" s="364">
        <f>+'Yr 1 Operating Statement of Act'!$G145/12</f>
        <v>122.04166666666667</v>
      </c>
      <c r="P143" s="364">
        <f>+'Yr 1 Operating Statement of Act'!$G145/12</f>
        <v>122.04166666666667</v>
      </c>
      <c r="Q143" s="364">
        <f>+'Yr 1 Operating Statement of Act'!$G145/12</f>
        <v>122.04166666666667</v>
      </c>
      <c r="R143" s="364">
        <f>+'Yr 1 Operating Statement of Act'!$G145/12</f>
        <v>122.04166666666667</v>
      </c>
      <c r="S143" s="365">
        <f>+'Yr 1 Operating Statement of Act'!$G145/12</f>
        <v>122.04166666666667</v>
      </c>
      <c r="T143" s="365">
        <f t="shared" si="38"/>
        <v>1464.5000000000002</v>
      </c>
      <c r="U143" s="365"/>
      <c r="V143" s="365">
        <f t="shared" si="37"/>
        <v>1464.5000000000002</v>
      </c>
    </row>
    <row r="144" spans="1:22" x14ac:dyDescent="0.2">
      <c r="A144" s="3" t="s">
        <v>440</v>
      </c>
      <c r="B144" s="225">
        <v>96</v>
      </c>
      <c r="C144" s="37"/>
      <c r="D144" s="10" t="s">
        <v>219</v>
      </c>
      <c r="E144" s="10"/>
      <c r="F144" s="19" t="s">
        <v>220</v>
      </c>
      <c r="G144" s="159" t="s">
        <v>221</v>
      </c>
      <c r="H144" s="363">
        <f>+'Yr 1 Operating Statement of Act'!$G146/12</f>
        <v>270.41981407856377</v>
      </c>
      <c r="I144" s="364">
        <f>+'Yr 1 Operating Statement of Act'!$G146/12</f>
        <v>270.41981407856377</v>
      </c>
      <c r="J144" s="364">
        <f>+'Yr 1 Operating Statement of Act'!$G146/12</f>
        <v>270.41981407856377</v>
      </c>
      <c r="K144" s="364">
        <f>+'Yr 1 Operating Statement of Act'!$G146/12</f>
        <v>270.41981407856377</v>
      </c>
      <c r="L144" s="364">
        <f>+'Yr 1 Operating Statement of Act'!$G146/12</f>
        <v>270.41981407856377</v>
      </c>
      <c r="M144" s="364">
        <f>+'Yr 1 Operating Statement of Act'!$G146/12</f>
        <v>270.41981407856377</v>
      </c>
      <c r="N144" s="364">
        <f>+'Yr 1 Operating Statement of Act'!$G146/12</f>
        <v>270.41981407856377</v>
      </c>
      <c r="O144" s="364">
        <f>+'Yr 1 Operating Statement of Act'!$G146/12</f>
        <v>270.41981407856377</v>
      </c>
      <c r="P144" s="364">
        <f>+'Yr 1 Operating Statement of Act'!$G146/12</f>
        <v>270.41981407856377</v>
      </c>
      <c r="Q144" s="364">
        <f>+'Yr 1 Operating Statement of Act'!$G146/12</f>
        <v>270.41981407856377</v>
      </c>
      <c r="R144" s="364">
        <f>+'Yr 1 Operating Statement of Act'!$G146/12</f>
        <v>270.41981407856377</v>
      </c>
      <c r="S144" s="365">
        <f>+'Yr 1 Operating Statement of Act'!$G146/12</f>
        <v>270.41981407856377</v>
      </c>
      <c r="T144" s="365">
        <f t="shared" si="38"/>
        <v>3245.0377689427655</v>
      </c>
      <c r="U144" s="365"/>
      <c r="V144" s="365">
        <f t="shared" si="37"/>
        <v>3245.0377689427655</v>
      </c>
    </row>
    <row r="145" spans="1:22" x14ac:dyDescent="0.2">
      <c r="A145" s="3" t="s">
        <v>440</v>
      </c>
      <c r="B145" s="225">
        <v>97</v>
      </c>
      <c r="C145" s="37"/>
      <c r="D145" s="10" t="s">
        <v>102</v>
      </c>
      <c r="E145" s="10"/>
      <c r="F145" s="19" t="s">
        <v>103</v>
      </c>
      <c r="G145" s="159" t="s">
        <v>221</v>
      </c>
      <c r="H145" s="363">
        <f>+'Yr 1 Operating Statement of Act'!$G147/12</f>
        <v>8.4166666666666661</v>
      </c>
      <c r="I145" s="364">
        <f>+'Yr 1 Operating Statement of Act'!$G147/12</f>
        <v>8.4166666666666661</v>
      </c>
      <c r="J145" s="364">
        <f>+'Yr 1 Operating Statement of Act'!$G147/12</f>
        <v>8.4166666666666661</v>
      </c>
      <c r="K145" s="364">
        <f>+'Yr 1 Operating Statement of Act'!$G147/12</f>
        <v>8.4166666666666661</v>
      </c>
      <c r="L145" s="364">
        <f>+'Yr 1 Operating Statement of Act'!$G147/12</f>
        <v>8.4166666666666661</v>
      </c>
      <c r="M145" s="364">
        <f>+'Yr 1 Operating Statement of Act'!$G147/12</f>
        <v>8.4166666666666661</v>
      </c>
      <c r="N145" s="364">
        <f>+'Yr 1 Operating Statement of Act'!$G147/12</f>
        <v>8.4166666666666661</v>
      </c>
      <c r="O145" s="364">
        <f>+'Yr 1 Operating Statement of Act'!$G147/12</f>
        <v>8.4166666666666661</v>
      </c>
      <c r="P145" s="364">
        <f>+'Yr 1 Operating Statement of Act'!$G147/12</f>
        <v>8.4166666666666661</v>
      </c>
      <c r="Q145" s="364">
        <f>+'Yr 1 Operating Statement of Act'!$G147/12</f>
        <v>8.4166666666666661</v>
      </c>
      <c r="R145" s="364">
        <f>+'Yr 1 Operating Statement of Act'!$G147/12</f>
        <v>8.4166666666666661</v>
      </c>
      <c r="S145" s="365">
        <f>+'Yr 1 Operating Statement of Act'!$G147/12</f>
        <v>8.4166666666666661</v>
      </c>
      <c r="T145" s="365">
        <f t="shared" si="38"/>
        <v>101.00000000000001</v>
      </c>
      <c r="U145" s="365"/>
      <c r="V145" s="365">
        <f t="shared" si="37"/>
        <v>101.00000000000001</v>
      </c>
    </row>
    <row r="146" spans="1:22" x14ac:dyDescent="0.2">
      <c r="A146" s="3" t="s">
        <v>440</v>
      </c>
      <c r="B146" s="225">
        <v>98</v>
      </c>
      <c r="C146" s="37"/>
      <c r="D146" s="10" t="s">
        <v>104</v>
      </c>
      <c r="E146" s="10"/>
      <c r="F146" s="19" t="s">
        <v>105</v>
      </c>
      <c r="G146" s="159" t="s">
        <v>221</v>
      </c>
      <c r="H146" s="363">
        <f>+'Yr 1 Operating Statement of Act'!G148</f>
        <v>0</v>
      </c>
      <c r="I146" s="364"/>
      <c r="J146" s="364"/>
      <c r="K146" s="364"/>
      <c r="L146" s="364"/>
      <c r="M146" s="364"/>
      <c r="N146" s="364"/>
      <c r="O146" s="364"/>
      <c r="P146" s="364"/>
      <c r="Q146" s="364"/>
      <c r="R146" s="364"/>
      <c r="S146" s="365"/>
      <c r="T146" s="365">
        <f t="shared" si="38"/>
        <v>0</v>
      </c>
      <c r="U146" s="365"/>
      <c r="V146" s="365">
        <f t="shared" si="37"/>
        <v>0</v>
      </c>
    </row>
    <row r="147" spans="1:22" x14ac:dyDescent="0.2">
      <c r="A147" s="3" t="s">
        <v>440</v>
      </c>
      <c r="B147" s="225">
        <v>99</v>
      </c>
      <c r="C147" s="37"/>
      <c r="D147" s="86" t="s">
        <v>283</v>
      </c>
      <c r="E147" s="10"/>
      <c r="F147" s="19"/>
      <c r="G147" s="159"/>
      <c r="H147" s="363"/>
      <c r="I147" s="364"/>
      <c r="J147" s="364"/>
      <c r="K147" s="364"/>
      <c r="L147" s="364"/>
      <c r="M147" s="364"/>
      <c r="N147" s="364"/>
      <c r="O147" s="364"/>
      <c r="P147" s="364"/>
      <c r="Q147" s="364"/>
      <c r="R147" s="364"/>
      <c r="S147" s="365"/>
      <c r="T147" s="365">
        <f t="shared" si="38"/>
        <v>0</v>
      </c>
      <c r="U147" s="365"/>
      <c r="V147" s="365">
        <f t="shared" si="37"/>
        <v>0</v>
      </c>
    </row>
    <row r="148" spans="1:22" x14ac:dyDescent="0.2">
      <c r="A148" s="3" t="s">
        <v>440</v>
      </c>
      <c r="B148" s="225">
        <v>100</v>
      </c>
      <c r="C148" s="37"/>
      <c r="D148" s="86"/>
      <c r="E148" s="10"/>
      <c r="F148" s="19"/>
      <c r="G148" s="159"/>
      <c r="H148" s="363"/>
      <c r="I148" s="364"/>
      <c r="J148" s="364"/>
      <c r="K148" s="364"/>
      <c r="L148" s="364"/>
      <c r="M148" s="364"/>
      <c r="N148" s="364"/>
      <c r="O148" s="364"/>
      <c r="P148" s="364"/>
      <c r="Q148" s="364"/>
      <c r="R148" s="364"/>
      <c r="S148" s="365"/>
      <c r="T148" s="365">
        <f t="shared" si="38"/>
        <v>0</v>
      </c>
      <c r="U148" s="365"/>
      <c r="V148" s="365">
        <f t="shared" si="37"/>
        <v>0</v>
      </c>
    </row>
    <row r="149" spans="1:22" x14ac:dyDescent="0.2">
      <c r="A149" s="3" t="s">
        <v>440</v>
      </c>
      <c r="B149" s="225">
        <v>101</v>
      </c>
      <c r="C149" s="37"/>
      <c r="D149" s="86"/>
      <c r="E149" s="10"/>
      <c r="F149" s="19"/>
      <c r="G149" s="159"/>
      <c r="H149" s="363"/>
      <c r="I149" s="364"/>
      <c r="J149" s="364"/>
      <c r="K149" s="364"/>
      <c r="L149" s="364"/>
      <c r="M149" s="364"/>
      <c r="N149" s="364"/>
      <c r="O149" s="364"/>
      <c r="P149" s="364"/>
      <c r="Q149" s="364"/>
      <c r="R149" s="364"/>
      <c r="S149" s="365"/>
      <c r="T149" s="365">
        <f t="shared" si="38"/>
        <v>0</v>
      </c>
      <c r="U149" s="365"/>
      <c r="V149" s="365">
        <f t="shared" si="37"/>
        <v>0</v>
      </c>
    </row>
    <row r="150" spans="1:22" ht="15.75" customHeight="1" x14ac:dyDescent="0.2">
      <c r="A150" s="3" t="s">
        <v>440</v>
      </c>
      <c r="B150" s="225">
        <v>102</v>
      </c>
      <c r="C150" s="84"/>
      <c r="F150" s="15"/>
      <c r="G150" s="167"/>
      <c r="H150" s="380"/>
      <c r="I150" s="381"/>
      <c r="J150" s="381"/>
      <c r="K150" s="381"/>
      <c r="L150" s="381"/>
      <c r="M150" s="381"/>
      <c r="N150" s="381"/>
      <c r="O150" s="381"/>
      <c r="P150" s="381"/>
      <c r="Q150" s="381"/>
      <c r="R150" s="381"/>
      <c r="S150" s="382"/>
      <c r="T150" s="365">
        <f t="shared" si="38"/>
        <v>0</v>
      </c>
      <c r="U150" s="365"/>
      <c r="V150" s="365">
        <f t="shared" si="37"/>
        <v>0</v>
      </c>
    </row>
    <row r="151" spans="1:22" ht="15.75" thickBot="1" x14ac:dyDescent="0.3">
      <c r="A151" s="3" t="s">
        <v>440</v>
      </c>
      <c r="B151" s="226">
        <v>103</v>
      </c>
      <c r="C151" s="88" t="s">
        <v>19</v>
      </c>
      <c r="D151" s="52"/>
      <c r="E151" s="52"/>
      <c r="F151" s="50"/>
      <c r="G151" s="163"/>
      <c r="H151" s="372">
        <f t="shared" ref="H151:T151" si="39">SUM(H130:H150)</f>
        <v>15756.344031891784</v>
      </c>
      <c r="I151" s="373">
        <f t="shared" si="39"/>
        <v>13678.642418988557</v>
      </c>
      <c r="J151" s="373">
        <f t="shared" si="39"/>
        <v>11279.140952712898</v>
      </c>
      <c r="K151" s="373">
        <f t="shared" si="39"/>
        <v>11269.518518695302</v>
      </c>
      <c r="L151" s="373">
        <f t="shared" si="39"/>
        <v>11274.329735704101</v>
      </c>
      <c r="M151" s="373">
        <f t="shared" si="39"/>
        <v>11259.896084677706</v>
      </c>
      <c r="N151" s="373">
        <f t="shared" si="39"/>
        <v>11572.586700513484</v>
      </c>
      <c r="O151" s="373">
        <f t="shared" si="39"/>
        <v>11279.140952712898</v>
      </c>
      <c r="P151" s="373">
        <f t="shared" si="39"/>
        <v>11279.140952712898</v>
      </c>
      <c r="Q151" s="373">
        <f t="shared" si="39"/>
        <v>11245.462433651313</v>
      </c>
      <c r="R151" s="373">
        <f t="shared" si="39"/>
        <v>11283.952169721695</v>
      </c>
      <c r="S151" s="374">
        <f t="shared" si="39"/>
        <v>12512.570204912312</v>
      </c>
      <c r="T151" s="374">
        <f t="shared" si="39"/>
        <v>143690.725156895</v>
      </c>
      <c r="U151" s="374">
        <f t="shared" ref="U151" si="40">SUM(U130:U150)</f>
        <v>2993.6290322580653</v>
      </c>
      <c r="V151" s="374">
        <f t="shared" si="37"/>
        <v>146684.35418915306</v>
      </c>
    </row>
    <row r="152" spans="1:22" ht="15.75" thickBot="1" x14ac:dyDescent="0.3">
      <c r="A152" s="3" t="s">
        <v>440</v>
      </c>
      <c r="B152" s="229">
        <v>104</v>
      </c>
      <c r="C152" s="76" t="s">
        <v>24</v>
      </c>
      <c r="D152" s="77"/>
      <c r="E152" s="77"/>
      <c r="F152" s="46"/>
      <c r="G152" s="166"/>
      <c r="H152" s="360">
        <f t="shared" ref="H152:T152" si="41">H98+H125+H151</f>
        <v>97077.338317236936</v>
      </c>
      <c r="I152" s="361">
        <f t="shared" si="41"/>
        <v>89402.318155946617</v>
      </c>
      <c r="J152" s="361">
        <f t="shared" si="41"/>
        <v>83001.654666210554</v>
      </c>
      <c r="K152" s="361">
        <f t="shared" si="41"/>
        <v>81332.326301922512</v>
      </c>
      <c r="L152" s="361">
        <f t="shared" si="41"/>
        <v>81529.714498403453</v>
      </c>
      <c r="M152" s="361">
        <f t="shared" si="41"/>
        <v>91702.549908960631</v>
      </c>
      <c r="N152" s="361">
        <f t="shared" si="41"/>
        <v>81721.868090778808</v>
      </c>
      <c r="O152" s="361">
        <f t="shared" si="41"/>
        <v>81727.102694884394</v>
      </c>
      <c r="P152" s="361">
        <f t="shared" si="41"/>
        <v>81727.102694884394</v>
      </c>
      <c r="Q152" s="361">
        <f t="shared" si="41"/>
        <v>80345.385319517809</v>
      </c>
      <c r="R152" s="361">
        <f t="shared" si="41"/>
        <v>92689.490891365334</v>
      </c>
      <c r="S152" s="362">
        <f t="shared" si="41"/>
        <v>84875.280847377056</v>
      </c>
      <c r="T152" s="362">
        <f t="shared" si="41"/>
        <v>1027132.1323874885</v>
      </c>
      <c r="U152" s="362">
        <f t="shared" ref="U152" si="42">U98+U125+U151</f>
        <v>9841.4919354838712</v>
      </c>
      <c r="V152" s="362">
        <f t="shared" si="37"/>
        <v>1036973.6243229724</v>
      </c>
    </row>
    <row r="153" spans="1:22" ht="4.5" customHeight="1" x14ac:dyDescent="0.2">
      <c r="A153" s="3" t="s">
        <v>440</v>
      </c>
      <c r="B153" s="230"/>
      <c r="C153" s="36"/>
      <c r="D153" s="13"/>
      <c r="E153" s="13"/>
      <c r="F153" s="17"/>
      <c r="G153" s="171"/>
      <c r="H153" s="375"/>
      <c r="I153" s="376"/>
      <c r="J153" s="376"/>
      <c r="K153" s="376"/>
      <c r="L153" s="376"/>
      <c r="M153" s="376"/>
      <c r="N153" s="376"/>
      <c r="O153" s="376"/>
      <c r="P153" s="376"/>
      <c r="Q153" s="376"/>
      <c r="R153" s="376"/>
      <c r="S153" s="377"/>
      <c r="T153" s="377"/>
      <c r="U153" s="377"/>
      <c r="V153" s="377"/>
    </row>
    <row r="154" spans="1:22" s="5" customFormat="1" ht="15" x14ac:dyDescent="0.25">
      <c r="A154" s="3" t="s">
        <v>440</v>
      </c>
      <c r="B154" s="225"/>
      <c r="C154" s="53" t="s">
        <v>22</v>
      </c>
      <c r="D154" s="54"/>
      <c r="E154" s="54"/>
      <c r="F154" s="62"/>
      <c r="G154" s="158"/>
      <c r="H154" s="378"/>
      <c r="I154" s="366"/>
      <c r="J154" s="366"/>
      <c r="K154" s="366"/>
      <c r="L154" s="366"/>
      <c r="M154" s="366"/>
      <c r="N154" s="366"/>
      <c r="O154" s="366"/>
      <c r="P154" s="366"/>
      <c r="Q154" s="366"/>
      <c r="R154" s="366"/>
      <c r="S154" s="379"/>
      <c r="T154" s="379"/>
      <c r="U154" s="379"/>
      <c r="V154" s="379"/>
    </row>
    <row r="155" spans="1:22" s="5" customFormat="1" ht="15" x14ac:dyDescent="0.25">
      <c r="A155" s="3" t="s">
        <v>440</v>
      </c>
      <c r="B155" s="225"/>
      <c r="C155" s="89" t="s">
        <v>23</v>
      </c>
      <c r="D155" s="54"/>
      <c r="E155" s="54"/>
      <c r="F155" s="62"/>
      <c r="G155" s="158"/>
      <c r="H155" s="378"/>
      <c r="I155" s="366"/>
      <c r="J155" s="366"/>
      <c r="K155" s="366"/>
      <c r="L155" s="366"/>
      <c r="M155" s="366"/>
      <c r="N155" s="366"/>
      <c r="O155" s="366"/>
      <c r="P155" s="366"/>
      <c r="Q155" s="366"/>
      <c r="R155" s="366"/>
      <c r="S155" s="379"/>
      <c r="T155" s="379"/>
      <c r="U155" s="379"/>
      <c r="V155" s="379"/>
    </row>
    <row r="156" spans="1:22" x14ac:dyDescent="0.2">
      <c r="A156" s="3" t="s">
        <v>440</v>
      </c>
      <c r="B156" s="225">
        <v>105</v>
      </c>
      <c r="C156" s="37"/>
      <c r="D156" s="10" t="s">
        <v>281</v>
      </c>
      <c r="E156" s="10"/>
      <c r="F156" s="19" t="s">
        <v>221</v>
      </c>
      <c r="G156" s="159" t="s">
        <v>240</v>
      </c>
      <c r="H156" s="363">
        <f>+'Yr 1 Operating Statement of Act'!$G158/12</f>
        <v>4583.333333333333</v>
      </c>
      <c r="I156" s="364">
        <f>+'Yr 1 Operating Statement of Act'!$G158/12</f>
        <v>4583.333333333333</v>
      </c>
      <c r="J156" s="364">
        <f>+'Yr 1 Operating Statement of Act'!$G158/12</f>
        <v>4583.333333333333</v>
      </c>
      <c r="K156" s="364">
        <f>+'Yr 1 Operating Statement of Act'!$G158/12</f>
        <v>4583.333333333333</v>
      </c>
      <c r="L156" s="364">
        <f>+'Yr 1 Operating Statement of Act'!$G158/12</f>
        <v>4583.333333333333</v>
      </c>
      <c r="M156" s="364">
        <f>+'Yr 1 Operating Statement of Act'!$G158/12</f>
        <v>4583.333333333333</v>
      </c>
      <c r="N156" s="364">
        <f>+'Yr 1 Operating Statement of Act'!$G158/12</f>
        <v>4583.333333333333</v>
      </c>
      <c r="O156" s="364">
        <f>+'Yr 1 Operating Statement of Act'!$G158/12</f>
        <v>4583.333333333333</v>
      </c>
      <c r="P156" s="364">
        <f>+'Yr 1 Operating Statement of Act'!$G158/12</f>
        <v>4583.333333333333</v>
      </c>
      <c r="Q156" s="364">
        <f>+'Yr 1 Operating Statement of Act'!$G158/12</f>
        <v>4583.333333333333</v>
      </c>
      <c r="R156" s="364">
        <f>+'Yr 1 Operating Statement of Act'!$G158/12</f>
        <v>4583.333333333333</v>
      </c>
      <c r="S156" s="365">
        <f>+'Yr 1 Operating Statement of Act'!$G158/12</f>
        <v>4583.333333333333</v>
      </c>
      <c r="T156" s="365">
        <f t="shared" ref="T156:T168" si="43">SUM(H156:S156)</f>
        <v>55000.000000000007</v>
      </c>
      <c r="U156" s="365"/>
      <c r="V156" s="365">
        <f t="shared" si="37"/>
        <v>55000.000000000007</v>
      </c>
    </row>
    <row r="157" spans="1:22" x14ac:dyDescent="0.2">
      <c r="A157" s="3" t="s">
        <v>440</v>
      </c>
      <c r="B157" s="225">
        <v>106</v>
      </c>
      <c r="C157" s="37"/>
      <c r="D157" s="10" t="s">
        <v>8</v>
      </c>
      <c r="E157" s="10"/>
      <c r="F157" s="19" t="s">
        <v>221</v>
      </c>
      <c r="G157" s="159" t="s">
        <v>240</v>
      </c>
      <c r="H157" s="364">
        <f>+'Yr 1 Operating Statement of Act'!$G159/12</f>
        <v>0</v>
      </c>
      <c r="I157" s="364">
        <f>+'Yr 1 Operating Statement of Act'!$G159/12</f>
        <v>0</v>
      </c>
      <c r="J157" s="364">
        <f>+'Yr 1 Operating Statement of Act'!$G159/12</f>
        <v>0</v>
      </c>
      <c r="K157" s="364">
        <f>+'Yr 1 Operating Statement of Act'!$G159/12</f>
        <v>0</v>
      </c>
      <c r="L157" s="364">
        <f>+'Yr 1 Operating Statement of Act'!$G159/12</f>
        <v>0</v>
      </c>
      <c r="M157" s="364">
        <f>+'Yr 1 Operating Statement of Act'!$G159/12</f>
        <v>0</v>
      </c>
      <c r="N157" s="364">
        <f>+'Yr 1 Operating Statement of Act'!$G159/12</f>
        <v>0</v>
      </c>
      <c r="O157" s="364">
        <f>+'Yr 1 Operating Statement of Act'!$G159/12</f>
        <v>0</v>
      </c>
      <c r="P157" s="364">
        <f>+'Yr 1 Operating Statement of Act'!$G159/12</f>
        <v>0</v>
      </c>
      <c r="Q157" s="364">
        <f>+'Yr 1 Operating Statement of Act'!$G159/12</f>
        <v>0</v>
      </c>
      <c r="R157" s="364">
        <f>+'Yr 1 Operating Statement of Act'!$G159/12</f>
        <v>0</v>
      </c>
      <c r="S157" s="365">
        <f>+'Yr 1 Operating Statement of Act'!$G159/12</f>
        <v>0</v>
      </c>
      <c r="T157" s="365">
        <f t="shared" si="43"/>
        <v>0</v>
      </c>
      <c r="U157" s="365"/>
      <c r="V157" s="365">
        <f t="shared" si="37"/>
        <v>0</v>
      </c>
    </row>
    <row r="158" spans="1:22" x14ac:dyDescent="0.2">
      <c r="A158" s="3" t="s">
        <v>440</v>
      </c>
      <c r="B158" s="225">
        <v>107</v>
      </c>
      <c r="C158" s="37"/>
      <c r="D158" s="10" t="s">
        <v>282</v>
      </c>
      <c r="E158" s="10"/>
      <c r="F158" s="19" t="s">
        <v>221</v>
      </c>
      <c r="G158" s="159" t="s">
        <v>240</v>
      </c>
      <c r="H158" s="363">
        <f>+'Yr 1 Operating Statement of Act'!$G160/12</f>
        <v>1166.6666666666667</v>
      </c>
      <c r="I158" s="364">
        <f>+'Yr 1 Operating Statement of Act'!$G160/12</f>
        <v>1166.6666666666667</v>
      </c>
      <c r="J158" s="364">
        <f>+'Yr 1 Operating Statement of Act'!$G160/12</f>
        <v>1166.6666666666667</v>
      </c>
      <c r="K158" s="364">
        <f>+'Yr 1 Operating Statement of Act'!$G160/12</f>
        <v>1166.6666666666667</v>
      </c>
      <c r="L158" s="364">
        <f>+'Yr 1 Operating Statement of Act'!$G160/12</f>
        <v>1166.6666666666667</v>
      </c>
      <c r="M158" s="364">
        <f>+'Yr 1 Operating Statement of Act'!$G160/12</f>
        <v>1166.6666666666667</v>
      </c>
      <c r="N158" s="364">
        <f>+'Yr 1 Operating Statement of Act'!$G160/12</f>
        <v>1166.6666666666667</v>
      </c>
      <c r="O158" s="364">
        <f>+'Yr 1 Operating Statement of Act'!$G160/12</f>
        <v>1166.6666666666667</v>
      </c>
      <c r="P158" s="364">
        <f>+'Yr 1 Operating Statement of Act'!$G160/12</f>
        <v>1166.6666666666667</v>
      </c>
      <c r="Q158" s="364">
        <f>+'Yr 1 Operating Statement of Act'!$G160/12</f>
        <v>1166.6666666666667</v>
      </c>
      <c r="R158" s="364">
        <f>+'Yr 1 Operating Statement of Act'!$G160/12</f>
        <v>1166.6666666666667</v>
      </c>
      <c r="S158" s="365">
        <f>+'Yr 1 Operating Statement of Act'!$G160/12</f>
        <v>1166.6666666666667</v>
      </c>
      <c r="T158" s="365">
        <f t="shared" si="43"/>
        <v>13999.999999999998</v>
      </c>
      <c r="U158" s="365"/>
      <c r="V158" s="365">
        <f t="shared" si="37"/>
        <v>13999.999999999998</v>
      </c>
    </row>
    <row r="159" spans="1:22" x14ac:dyDescent="0.2">
      <c r="A159" s="3" t="s">
        <v>440</v>
      </c>
      <c r="B159" s="225">
        <v>108</v>
      </c>
      <c r="C159" s="37"/>
      <c r="D159" s="10" t="s">
        <v>120</v>
      </c>
      <c r="E159" s="10"/>
      <c r="F159" s="19" t="s">
        <v>221</v>
      </c>
      <c r="G159" s="159" t="s">
        <v>240</v>
      </c>
      <c r="H159" s="363">
        <f>+'Yr 1 Operating Statement of Act'!$G161/12</f>
        <v>2625</v>
      </c>
      <c r="I159" s="364">
        <f>+'Yr 1 Operating Statement of Act'!$G161/12</f>
        <v>2625</v>
      </c>
      <c r="J159" s="364">
        <f>+'Yr 1 Operating Statement of Act'!$G161/12</f>
        <v>2625</v>
      </c>
      <c r="K159" s="364">
        <f>+'Yr 1 Operating Statement of Act'!$G161/12</f>
        <v>2625</v>
      </c>
      <c r="L159" s="364">
        <f>+'Yr 1 Operating Statement of Act'!$G161/12</f>
        <v>2625</v>
      </c>
      <c r="M159" s="364">
        <f>+'Yr 1 Operating Statement of Act'!$G161/12</f>
        <v>2625</v>
      </c>
      <c r="N159" s="364">
        <f>+'Yr 1 Operating Statement of Act'!$G161/12</f>
        <v>2625</v>
      </c>
      <c r="O159" s="364">
        <f>+'Yr 1 Operating Statement of Act'!$G161/12</f>
        <v>2625</v>
      </c>
      <c r="P159" s="364">
        <f>+'Yr 1 Operating Statement of Act'!$G161/12</f>
        <v>2625</v>
      </c>
      <c r="Q159" s="364">
        <f>+'Yr 1 Operating Statement of Act'!$G161/12</f>
        <v>2625</v>
      </c>
      <c r="R159" s="364">
        <f>+'Yr 1 Operating Statement of Act'!$G161/12</f>
        <v>2625</v>
      </c>
      <c r="S159" s="365">
        <f>+'Yr 1 Operating Statement of Act'!$G161/12</f>
        <v>2625</v>
      </c>
      <c r="T159" s="365">
        <f t="shared" si="43"/>
        <v>31500</v>
      </c>
      <c r="U159" s="365"/>
      <c r="V159" s="365">
        <f t="shared" si="37"/>
        <v>31500</v>
      </c>
    </row>
    <row r="160" spans="1:22" x14ac:dyDescent="0.2">
      <c r="A160" s="3" t="s">
        <v>440</v>
      </c>
      <c r="B160" s="225">
        <v>109</v>
      </c>
      <c r="C160" s="37"/>
      <c r="D160" s="10" t="s">
        <v>295</v>
      </c>
      <c r="E160" s="10"/>
      <c r="F160" s="19" t="s">
        <v>97</v>
      </c>
      <c r="G160" s="159" t="s">
        <v>240</v>
      </c>
      <c r="H160" s="363">
        <f>+'Yr 1 Operating Statement of Act'!$G162/12</f>
        <v>592.72667297894964</v>
      </c>
      <c r="I160" s="364">
        <f>+'Yr 1 Operating Statement of Act'!$G162/12</f>
        <v>592.72667297894964</v>
      </c>
      <c r="J160" s="364">
        <f>+'Yr 1 Operating Statement of Act'!$G162/12</f>
        <v>592.72667297894964</v>
      </c>
      <c r="K160" s="364">
        <f>+'Yr 1 Operating Statement of Act'!$G162/12</f>
        <v>592.72667297894964</v>
      </c>
      <c r="L160" s="364">
        <f>+'Yr 1 Operating Statement of Act'!$G162/12</f>
        <v>592.72667297894964</v>
      </c>
      <c r="M160" s="364">
        <f>+'Yr 1 Operating Statement of Act'!$G162/12</f>
        <v>592.72667297894964</v>
      </c>
      <c r="N160" s="364">
        <f>+'Yr 1 Operating Statement of Act'!$G162/12</f>
        <v>592.72667297894964</v>
      </c>
      <c r="O160" s="364">
        <f>+'Yr 1 Operating Statement of Act'!$G162/12</f>
        <v>592.72667297894964</v>
      </c>
      <c r="P160" s="364">
        <f>+'Yr 1 Operating Statement of Act'!$G162/12</f>
        <v>592.72667297894964</v>
      </c>
      <c r="Q160" s="364">
        <f>+'Yr 1 Operating Statement of Act'!$G162/12</f>
        <v>592.72667297894964</v>
      </c>
      <c r="R160" s="364">
        <f>+'Yr 1 Operating Statement of Act'!$G162/12</f>
        <v>592.72667297894964</v>
      </c>
      <c r="S160" s="365">
        <f>+'Yr 1 Operating Statement of Act'!$G162/12</f>
        <v>592.72667297894964</v>
      </c>
      <c r="T160" s="365">
        <f t="shared" si="43"/>
        <v>7112.7200757473975</v>
      </c>
      <c r="U160" s="365"/>
      <c r="V160" s="365">
        <f t="shared" si="37"/>
        <v>7112.7200757473975</v>
      </c>
    </row>
    <row r="161" spans="1:22" x14ac:dyDescent="0.2">
      <c r="A161" s="3" t="s">
        <v>440</v>
      </c>
      <c r="B161" s="225">
        <v>110</v>
      </c>
      <c r="C161" s="37"/>
      <c r="D161" s="10" t="s">
        <v>98</v>
      </c>
      <c r="E161" s="10"/>
      <c r="F161" s="19" t="s">
        <v>99</v>
      </c>
      <c r="G161" s="159" t="s">
        <v>240</v>
      </c>
      <c r="H161" s="363">
        <f>+'Yr 1 Operating Statement of Act'!$G163/12</f>
        <v>519.25</v>
      </c>
      <c r="I161" s="364">
        <f>+'Yr 1 Operating Statement of Act'!$G163/12</f>
        <v>519.25</v>
      </c>
      <c r="J161" s="364">
        <f>+'Yr 1 Operating Statement of Act'!$G163/12</f>
        <v>519.25</v>
      </c>
      <c r="K161" s="364">
        <f>+'Yr 1 Operating Statement of Act'!$G163/12</f>
        <v>519.25</v>
      </c>
      <c r="L161" s="364">
        <f>+'Yr 1 Operating Statement of Act'!$G163/12</f>
        <v>519.25</v>
      </c>
      <c r="M161" s="364">
        <f>+'Yr 1 Operating Statement of Act'!$G163/12</f>
        <v>519.25</v>
      </c>
      <c r="N161" s="364">
        <f>+'Yr 1 Operating Statement of Act'!$G163/12</f>
        <v>519.25</v>
      </c>
      <c r="O161" s="364">
        <f>+'Yr 1 Operating Statement of Act'!$G163/12</f>
        <v>519.25</v>
      </c>
      <c r="P161" s="364">
        <f>+'Yr 1 Operating Statement of Act'!$G163/12</f>
        <v>519.25</v>
      </c>
      <c r="Q161" s="364">
        <f>+'Yr 1 Operating Statement of Act'!$G163/12</f>
        <v>519.25</v>
      </c>
      <c r="R161" s="364">
        <f>+'Yr 1 Operating Statement of Act'!$G163/12</f>
        <v>519.25</v>
      </c>
      <c r="S161" s="365">
        <f>+'Yr 1 Operating Statement of Act'!$G163/12</f>
        <v>519.25</v>
      </c>
      <c r="T161" s="365">
        <f t="shared" si="43"/>
        <v>6231</v>
      </c>
      <c r="U161" s="365"/>
      <c r="V161" s="365">
        <f t="shared" si="37"/>
        <v>6231</v>
      </c>
    </row>
    <row r="162" spans="1:22" x14ac:dyDescent="0.2">
      <c r="A162" s="3" t="s">
        <v>440</v>
      </c>
      <c r="B162" s="225">
        <v>111</v>
      </c>
      <c r="C162" s="37"/>
      <c r="D162" s="10" t="s">
        <v>100</v>
      </c>
      <c r="E162" s="10"/>
      <c r="F162" s="19" t="s">
        <v>101</v>
      </c>
      <c r="G162" s="159" t="s">
        <v>240</v>
      </c>
      <c r="H162" s="363">
        <f>+'Yr 1 Operating Statement of Act'!$G164/12</f>
        <v>121.4375</v>
      </c>
      <c r="I162" s="364">
        <f>+'Yr 1 Operating Statement of Act'!$G164/12</f>
        <v>121.4375</v>
      </c>
      <c r="J162" s="364">
        <f>+'Yr 1 Operating Statement of Act'!$G164/12</f>
        <v>121.4375</v>
      </c>
      <c r="K162" s="364">
        <f>+'Yr 1 Operating Statement of Act'!$G164/12</f>
        <v>121.4375</v>
      </c>
      <c r="L162" s="364">
        <f>+'Yr 1 Operating Statement of Act'!$G164/12</f>
        <v>121.4375</v>
      </c>
      <c r="M162" s="364">
        <f>+'Yr 1 Operating Statement of Act'!$G164/12</f>
        <v>121.4375</v>
      </c>
      <c r="N162" s="364">
        <f>+'Yr 1 Operating Statement of Act'!$G164/12</f>
        <v>121.4375</v>
      </c>
      <c r="O162" s="364">
        <f>+'Yr 1 Operating Statement of Act'!$G164/12</f>
        <v>121.4375</v>
      </c>
      <c r="P162" s="364">
        <f>+'Yr 1 Operating Statement of Act'!$G164/12</f>
        <v>121.4375</v>
      </c>
      <c r="Q162" s="364">
        <f>+'Yr 1 Operating Statement of Act'!$G164/12</f>
        <v>121.4375</v>
      </c>
      <c r="R162" s="364">
        <f>+'Yr 1 Operating Statement of Act'!$G164/12</f>
        <v>121.4375</v>
      </c>
      <c r="S162" s="365">
        <f>+'Yr 1 Operating Statement of Act'!$G164/12</f>
        <v>121.4375</v>
      </c>
      <c r="T162" s="365">
        <f t="shared" si="43"/>
        <v>1457.25</v>
      </c>
      <c r="U162" s="365"/>
      <c r="V162" s="365">
        <f t="shared" si="37"/>
        <v>1457.25</v>
      </c>
    </row>
    <row r="163" spans="1:22" x14ac:dyDescent="0.2">
      <c r="A163" s="3" t="s">
        <v>440</v>
      </c>
      <c r="B163" s="225">
        <v>112</v>
      </c>
      <c r="C163" s="37"/>
      <c r="D163" s="10" t="s">
        <v>219</v>
      </c>
      <c r="E163" s="10"/>
      <c r="F163" s="19" t="s">
        <v>220</v>
      </c>
      <c r="G163" s="159" t="s">
        <v>240</v>
      </c>
      <c r="H163" s="363">
        <f>+'Yr 1 Operating Statement of Act'!$G165/12</f>
        <v>269.0811021276798</v>
      </c>
      <c r="I163" s="364">
        <f>+'Yr 1 Operating Statement of Act'!$G165/12</f>
        <v>269.0811021276798</v>
      </c>
      <c r="J163" s="364">
        <f>+'Yr 1 Operating Statement of Act'!$G165/12</f>
        <v>269.0811021276798</v>
      </c>
      <c r="K163" s="364">
        <f>+'Yr 1 Operating Statement of Act'!$G165/12</f>
        <v>269.0811021276798</v>
      </c>
      <c r="L163" s="364">
        <f>+'Yr 1 Operating Statement of Act'!$G165/12</f>
        <v>269.0811021276798</v>
      </c>
      <c r="M163" s="364">
        <f>+'Yr 1 Operating Statement of Act'!$G165/12</f>
        <v>269.0811021276798</v>
      </c>
      <c r="N163" s="364">
        <f>+'Yr 1 Operating Statement of Act'!$G165/12</f>
        <v>269.0811021276798</v>
      </c>
      <c r="O163" s="364">
        <f>+'Yr 1 Operating Statement of Act'!$G165/12</f>
        <v>269.0811021276798</v>
      </c>
      <c r="P163" s="364">
        <f>+'Yr 1 Operating Statement of Act'!$G165/12</f>
        <v>269.0811021276798</v>
      </c>
      <c r="Q163" s="364">
        <f>+'Yr 1 Operating Statement of Act'!$G165/12</f>
        <v>269.0811021276798</v>
      </c>
      <c r="R163" s="364">
        <f>+'Yr 1 Operating Statement of Act'!$G165/12</f>
        <v>269.0811021276798</v>
      </c>
      <c r="S163" s="365">
        <f>+'Yr 1 Operating Statement of Act'!$G165/12</f>
        <v>269.0811021276798</v>
      </c>
      <c r="T163" s="365">
        <f t="shared" si="43"/>
        <v>3228.9732255321583</v>
      </c>
      <c r="U163" s="365"/>
      <c r="V163" s="365">
        <f t="shared" si="37"/>
        <v>3228.9732255321583</v>
      </c>
    </row>
    <row r="164" spans="1:22" x14ac:dyDescent="0.2">
      <c r="A164" s="3" t="s">
        <v>440</v>
      </c>
      <c r="B164" s="225">
        <v>113</v>
      </c>
      <c r="C164" s="37"/>
      <c r="D164" s="10" t="s">
        <v>102</v>
      </c>
      <c r="E164" s="10"/>
      <c r="F164" s="19" t="s">
        <v>103</v>
      </c>
      <c r="G164" s="159" t="s">
        <v>240</v>
      </c>
      <c r="H164" s="363">
        <f>+'Yr 1 Operating Statement of Act'!$G166/12</f>
        <v>8.375</v>
      </c>
      <c r="I164" s="364">
        <f>+'Yr 1 Operating Statement of Act'!$G166/12</f>
        <v>8.375</v>
      </c>
      <c r="J164" s="364">
        <f>+'Yr 1 Operating Statement of Act'!$G166/12</f>
        <v>8.375</v>
      </c>
      <c r="K164" s="364">
        <f>+'Yr 1 Operating Statement of Act'!$G166/12</f>
        <v>8.375</v>
      </c>
      <c r="L164" s="364">
        <f>+'Yr 1 Operating Statement of Act'!$G166/12</f>
        <v>8.375</v>
      </c>
      <c r="M164" s="364">
        <f>+'Yr 1 Operating Statement of Act'!$G166/12</f>
        <v>8.375</v>
      </c>
      <c r="N164" s="364">
        <f>+'Yr 1 Operating Statement of Act'!$G166/12</f>
        <v>8.375</v>
      </c>
      <c r="O164" s="364">
        <f>+'Yr 1 Operating Statement of Act'!$G166/12</f>
        <v>8.375</v>
      </c>
      <c r="P164" s="364">
        <f>+'Yr 1 Operating Statement of Act'!$G166/12</f>
        <v>8.375</v>
      </c>
      <c r="Q164" s="364">
        <f>+'Yr 1 Operating Statement of Act'!$G166/12</f>
        <v>8.375</v>
      </c>
      <c r="R164" s="364">
        <f>+'Yr 1 Operating Statement of Act'!$G166/12</f>
        <v>8.375</v>
      </c>
      <c r="S164" s="365">
        <f>+'Yr 1 Operating Statement of Act'!$G166/12</f>
        <v>8.375</v>
      </c>
      <c r="T164" s="365">
        <f t="shared" si="43"/>
        <v>100.5</v>
      </c>
      <c r="U164" s="365"/>
      <c r="V164" s="365">
        <f t="shared" si="37"/>
        <v>100.5</v>
      </c>
    </row>
    <row r="165" spans="1:22" x14ac:dyDescent="0.2">
      <c r="A165" s="3" t="s">
        <v>440</v>
      </c>
      <c r="B165" s="225">
        <v>114</v>
      </c>
      <c r="C165" s="37"/>
      <c r="D165" s="10" t="s">
        <v>104</v>
      </c>
      <c r="E165" s="10"/>
      <c r="F165" s="19" t="s">
        <v>105</v>
      </c>
      <c r="G165" s="159" t="s">
        <v>240</v>
      </c>
      <c r="H165" s="363">
        <f>+'Yr 1 Operating Statement of Act'!G167</f>
        <v>0</v>
      </c>
      <c r="I165" s="364"/>
      <c r="J165" s="364"/>
      <c r="K165" s="364"/>
      <c r="L165" s="364"/>
      <c r="M165" s="364"/>
      <c r="N165" s="364"/>
      <c r="O165" s="364"/>
      <c r="P165" s="364"/>
      <c r="Q165" s="364"/>
      <c r="R165" s="364"/>
      <c r="S165" s="365"/>
      <c r="T165" s="365">
        <f t="shared" si="43"/>
        <v>0</v>
      </c>
      <c r="U165" s="365"/>
      <c r="V165" s="365">
        <f t="shared" si="37"/>
        <v>0</v>
      </c>
    </row>
    <row r="166" spans="1:22" x14ac:dyDescent="0.2">
      <c r="A166" s="3" t="s">
        <v>440</v>
      </c>
      <c r="B166" s="225">
        <v>115</v>
      </c>
      <c r="C166" s="37"/>
      <c r="D166" s="86" t="s">
        <v>283</v>
      </c>
      <c r="E166" s="10"/>
      <c r="F166" s="19"/>
      <c r="G166" s="159"/>
      <c r="H166" s="363"/>
      <c r="I166" s="364"/>
      <c r="J166" s="364"/>
      <c r="K166" s="364"/>
      <c r="L166" s="364"/>
      <c r="M166" s="364"/>
      <c r="N166" s="364"/>
      <c r="O166" s="364"/>
      <c r="P166" s="364"/>
      <c r="Q166" s="364"/>
      <c r="R166" s="364"/>
      <c r="S166" s="365"/>
      <c r="T166" s="365">
        <f t="shared" si="43"/>
        <v>0</v>
      </c>
      <c r="U166" s="365"/>
      <c r="V166" s="365">
        <f t="shared" si="37"/>
        <v>0</v>
      </c>
    </row>
    <row r="167" spans="1:22" x14ac:dyDescent="0.2">
      <c r="A167" s="3" t="s">
        <v>440</v>
      </c>
      <c r="B167" s="225">
        <v>116</v>
      </c>
      <c r="C167" s="37"/>
      <c r="D167" s="86"/>
      <c r="E167" s="10"/>
      <c r="F167" s="19"/>
      <c r="G167" s="159"/>
      <c r="H167" s="363"/>
      <c r="I167" s="364"/>
      <c r="J167" s="364"/>
      <c r="K167" s="364"/>
      <c r="L167" s="364"/>
      <c r="M167" s="364"/>
      <c r="N167" s="364"/>
      <c r="O167" s="364"/>
      <c r="P167" s="364"/>
      <c r="Q167" s="364"/>
      <c r="R167" s="364"/>
      <c r="S167" s="365"/>
      <c r="T167" s="365">
        <f t="shared" si="43"/>
        <v>0</v>
      </c>
      <c r="U167" s="365"/>
      <c r="V167" s="365">
        <f t="shared" si="37"/>
        <v>0</v>
      </c>
    </row>
    <row r="168" spans="1:22" x14ac:dyDescent="0.2">
      <c r="A168" s="3" t="s">
        <v>440</v>
      </c>
      <c r="B168" s="225">
        <v>117</v>
      </c>
      <c r="C168" s="84"/>
      <c r="D168" s="85"/>
      <c r="E168" s="14"/>
      <c r="F168" s="15"/>
      <c r="G168" s="167"/>
      <c r="H168" s="380"/>
      <c r="I168" s="381"/>
      <c r="J168" s="381"/>
      <c r="K168" s="381"/>
      <c r="L168" s="381"/>
      <c r="M168" s="381"/>
      <c r="N168" s="381"/>
      <c r="O168" s="381"/>
      <c r="P168" s="381"/>
      <c r="Q168" s="381"/>
      <c r="R168" s="381"/>
      <c r="S168" s="382"/>
      <c r="T168" s="365">
        <f t="shared" si="43"/>
        <v>0</v>
      </c>
      <c r="U168" s="365"/>
      <c r="V168" s="365">
        <f t="shared" si="37"/>
        <v>0</v>
      </c>
    </row>
    <row r="169" spans="1:22" ht="15" x14ac:dyDescent="0.25">
      <c r="A169" s="3" t="s">
        <v>440</v>
      </c>
      <c r="B169" s="226">
        <v>118</v>
      </c>
      <c r="C169" s="88" t="s">
        <v>121</v>
      </c>
      <c r="D169" s="52"/>
      <c r="E169" s="52"/>
      <c r="F169" s="50"/>
      <c r="G169" s="163"/>
      <c r="H169" s="372">
        <f t="shared" ref="H169:U169" si="44">SUM(H156:H168)</f>
        <v>9885.8702751066303</v>
      </c>
      <c r="I169" s="373">
        <f t="shared" si="44"/>
        <v>9885.8702751066303</v>
      </c>
      <c r="J169" s="373">
        <f t="shared" si="44"/>
        <v>9885.8702751066303</v>
      </c>
      <c r="K169" s="373">
        <f t="shared" si="44"/>
        <v>9885.8702751066303</v>
      </c>
      <c r="L169" s="373">
        <f t="shared" si="44"/>
        <v>9885.8702751066303</v>
      </c>
      <c r="M169" s="373">
        <f t="shared" si="44"/>
        <v>9885.8702751066303</v>
      </c>
      <c r="N169" s="373">
        <f t="shared" si="44"/>
        <v>9885.8702751066303</v>
      </c>
      <c r="O169" s="373">
        <f t="shared" si="44"/>
        <v>9885.8702751066303</v>
      </c>
      <c r="P169" s="373">
        <f t="shared" si="44"/>
        <v>9885.8702751066303</v>
      </c>
      <c r="Q169" s="373">
        <f t="shared" si="44"/>
        <v>9885.8702751066303</v>
      </c>
      <c r="R169" s="373">
        <f t="shared" si="44"/>
        <v>9885.8702751066303</v>
      </c>
      <c r="S169" s="374">
        <f t="shared" si="44"/>
        <v>9885.8702751066303</v>
      </c>
      <c r="T169" s="374">
        <f t="shared" si="44"/>
        <v>118630.44330127955</v>
      </c>
      <c r="U169" s="374">
        <f t="shared" si="44"/>
        <v>0</v>
      </c>
      <c r="V169" s="374">
        <f t="shared" si="37"/>
        <v>118630.44330127955</v>
      </c>
    </row>
    <row r="170" spans="1:22" ht="9" customHeight="1" x14ac:dyDescent="0.2">
      <c r="A170" s="3" t="s">
        <v>440</v>
      </c>
      <c r="B170" s="230"/>
      <c r="C170" s="36"/>
      <c r="D170" s="13"/>
      <c r="E170" s="13"/>
      <c r="F170" s="17"/>
      <c r="G170" s="171"/>
      <c r="H170" s="375"/>
      <c r="I170" s="376"/>
      <c r="J170" s="376"/>
      <c r="K170" s="376"/>
      <c r="L170" s="376"/>
      <c r="M170" s="376"/>
      <c r="N170" s="376"/>
      <c r="O170" s="376"/>
      <c r="P170" s="376"/>
      <c r="Q170" s="376"/>
      <c r="R170" s="376"/>
      <c r="S170" s="377"/>
      <c r="T170" s="377"/>
      <c r="U170" s="377"/>
      <c r="V170" s="377"/>
    </row>
    <row r="171" spans="1:22" s="5" customFormat="1" ht="15" x14ac:dyDescent="0.25">
      <c r="A171" s="3" t="s">
        <v>440</v>
      </c>
      <c r="B171" s="225"/>
      <c r="C171" s="89" t="s">
        <v>25</v>
      </c>
      <c r="D171" s="54"/>
      <c r="E171" s="54"/>
      <c r="F171" s="62"/>
      <c r="G171" s="158"/>
      <c r="H171" s="378"/>
      <c r="I171" s="366"/>
      <c r="J171" s="366"/>
      <c r="K171" s="366"/>
      <c r="L171" s="366"/>
      <c r="M171" s="366"/>
      <c r="N171" s="366"/>
      <c r="O171" s="366"/>
      <c r="P171" s="366"/>
      <c r="Q171" s="366"/>
      <c r="R171" s="366"/>
      <c r="S171" s="379"/>
      <c r="T171" s="379"/>
      <c r="U171" s="379"/>
      <c r="V171" s="379"/>
    </row>
    <row r="172" spans="1:22" x14ac:dyDescent="0.2">
      <c r="A172" s="3" t="s">
        <v>440</v>
      </c>
      <c r="B172" s="225">
        <v>119</v>
      </c>
      <c r="C172" s="37"/>
      <c r="D172" s="10" t="s">
        <v>241</v>
      </c>
      <c r="E172" s="10"/>
      <c r="F172" s="19">
        <v>111</v>
      </c>
      <c r="G172" s="159" t="s">
        <v>265</v>
      </c>
      <c r="H172" s="363">
        <f>+'Yr 1 Operating Statement of Act'!G174</f>
        <v>0</v>
      </c>
      <c r="I172" s="364"/>
      <c r="J172" s="364"/>
      <c r="K172" s="364"/>
      <c r="L172" s="364"/>
      <c r="M172" s="364"/>
      <c r="N172" s="364"/>
      <c r="O172" s="364"/>
      <c r="P172" s="364"/>
      <c r="Q172" s="364"/>
      <c r="R172" s="364"/>
      <c r="S172" s="365"/>
      <c r="T172" s="365">
        <f t="shared" ref="T172:T185" si="45">SUM(H172:S172)</f>
        <v>0</v>
      </c>
      <c r="U172" s="365"/>
      <c r="V172" s="365">
        <f t="shared" si="37"/>
        <v>0</v>
      </c>
    </row>
    <row r="173" spans="1:22" x14ac:dyDescent="0.2">
      <c r="A173" s="3" t="s">
        <v>440</v>
      </c>
      <c r="B173" s="225">
        <v>120</v>
      </c>
      <c r="C173" s="37"/>
      <c r="D173" s="10" t="s">
        <v>122</v>
      </c>
      <c r="E173" s="10"/>
      <c r="F173" s="19" t="s">
        <v>221</v>
      </c>
      <c r="G173" s="159" t="s">
        <v>265</v>
      </c>
      <c r="H173" s="363">
        <f>+'Yr 1 Operating Statement of Act'!$G175/12</f>
        <v>1666.6666666666667</v>
      </c>
      <c r="I173" s="364">
        <f>+'Yr 1 Operating Statement of Act'!$G175/12</f>
        <v>1666.6666666666667</v>
      </c>
      <c r="J173" s="364">
        <f>+'Yr 1 Operating Statement of Act'!$G175/12</f>
        <v>1666.6666666666667</v>
      </c>
      <c r="K173" s="364">
        <f>+'Yr 1 Operating Statement of Act'!$G175/12</f>
        <v>1666.6666666666667</v>
      </c>
      <c r="L173" s="364">
        <f>+'Yr 1 Operating Statement of Act'!$G175/12</f>
        <v>1666.6666666666667</v>
      </c>
      <c r="M173" s="364">
        <f>+'Yr 1 Operating Statement of Act'!$G175/12</f>
        <v>1666.6666666666667</v>
      </c>
      <c r="N173" s="364">
        <f>+'Yr 1 Operating Statement of Act'!$G175/12</f>
        <v>1666.6666666666667</v>
      </c>
      <c r="O173" s="364">
        <f>+'Yr 1 Operating Statement of Act'!$G175/12</f>
        <v>1666.6666666666667</v>
      </c>
      <c r="P173" s="364">
        <f>+'Yr 1 Operating Statement of Act'!$G175/12</f>
        <v>1666.6666666666667</v>
      </c>
      <c r="Q173" s="364">
        <f>+'Yr 1 Operating Statement of Act'!$G175/12</f>
        <v>1666.6666666666667</v>
      </c>
      <c r="R173" s="364">
        <f>+'Yr 1 Operating Statement of Act'!$G175/12</f>
        <v>1666.6666666666667</v>
      </c>
      <c r="S173" s="365">
        <f>+'Yr 1 Operating Statement of Act'!$G175/12</f>
        <v>1666.6666666666667</v>
      </c>
      <c r="T173" s="365">
        <f t="shared" si="45"/>
        <v>20000</v>
      </c>
      <c r="U173" s="365"/>
      <c r="V173" s="365">
        <f t="shared" si="37"/>
        <v>20000</v>
      </c>
    </row>
    <row r="174" spans="1:22" x14ac:dyDescent="0.2">
      <c r="A174" s="3" t="s">
        <v>440</v>
      </c>
      <c r="B174" s="225">
        <v>121</v>
      </c>
      <c r="C174" s="37"/>
      <c r="D174" s="10" t="s">
        <v>266</v>
      </c>
      <c r="E174" s="10"/>
      <c r="F174" s="19" t="s">
        <v>224</v>
      </c>
      <c r="G174" s="159" t="s">
        <v>265</v>
      </c>
      <c r="H174" s="363">
        <f>+'Yr 1 Operating Statement of Act'!G176</f>
        <v>0</v>
      </c>
      <c r="I174" s="364"/>
      <c r="J174" s="364"/>
      <c r="K174" s="364"/>
      <c r="L174" s="364"/>
      <c r="M174" s="364"/>
      <c r="N174" s="364"/>
      <c r="O174" s="364"/>
      <c r="P174" s="364"/>
      <c r="Q174" s="364"/>
      <c r="R174" s="364"/>
      <c r="S174" s="365"/>
      <c r="T174" s="365">
        <f t="shared" si="45"/>
        <v>0</v>
      </c>
      <c r="U174" s="365"/>
      <c r="V174" s="365">
        <f t="shared" si="37"/>
        <v>0</v>
      </c>
    </row>
    <row r="175" spans="1:22" x14ac:dyDescent="0.2">
      <c r="A175" s="3" t="s">
        <v>440</v>
      </c>
      <c r="B175" s="225">
        <v>122</v>
      </c>
      <c r="C175" s="37"/>
      <c r="D175" s="10" t="s">
        <v>123</v>
      </c>
      <c r="E175" s="10"/>
      <c r="F175" s="19" t="s">
        <v>221</v>
      </c>
      <c r="G175" s="159">
        <v>2230</v>
      </c>
      <c r="H175" s="363">
        <f>+'Yr 1 Operating Statement of Act'!G177</f>
        <v>0</v>
      </c>
      <c r="I175" s="364"/>
      <c r="J175" s="364"/>
      <c r="K175" s="364"/>
      <c r="L175" s="364"/>
      <c r="M175" s="364"/>
      <c r="N175" s="364"/>
      <c r="O175" s="364"/>
      <c r="P175" s="364"/>
      <c r="Q175" s="364"/>
      <c r="R175" s="364"/>
      <c r="S175" s="365"/>
      <c r="T175" s="365">
        <f t="shared" si="45"/>
        <v>0</v>
      </c>
      <c r="U175" s="365"/>
      <c r="V175" s="365">
        <f t="shared" si="37"/>
        <v>0</v>
      </c>
    </row>
    <row r="176" spans="1:22" x14ac:dyDescent="0.2">
      <c r="A176" s="3" t="s">
        <v>440</v>
      </c>
      <c r="B176" s="225">
        <v>123</v>
      </c>
      <c r="C176" s="37"/>
      <c r="D176" s="10" t="s">
        <v>124</v>
      </c>
      <c r="E176" s="10"/>
      <c r="F176" s="19" t="s">
        <v>221</v>
      </c>
      <c r="G176" s="159" t="s">
        <v>265</v>
      </c>
      <c r="H176" s="363">
        <f>+'Yr 1 Operating Statement of Act'!G178</f>
        <v>0</v>
      </c>
      <c r="I176" s="364"/>
      <c r="J176" s="364"/>
      <c r="K176" s="364"/>
      <c r="L176" s="364"/>
      <c r="M176" s="364"/>
      <c r="N176" s="364"/>
      <c r="O176" s="364"/>
      <c r="P176" s="364"/>
      <c r="Q176" s="364"/>
      <c r="R176" s="364"/>
      <c r="S176" s="365"/>
      <c r="T176" s="365">
        <f t="shared" si="45"/>
        <v>0</v>
      </c>
      <c r="U176" s="365"/>
      <c r="V176" s="365">
        <f t="shared" si="37"/>
        <v>0</v>
      </c>
    </row>
    <row r="177" spans="1:22" x14ac:dyDescent="0.2">
      <c r="A177" s="3" t="s">
        <v>440</v>
      </c>
      <c r="B177" s="225">
        <v>124</v>
      </c>
      <c r="C177" s="37"/>
      <c r="D177" s="10" t="s">
        <v>295</v>
      </c>
      <c r="E177" s="10"/>
      <c r="F177" s="19" t="s">
        <v>97</v>
      </c>
      <c r="G177" s="159" t="s">
        <v>265</v>
      </c>
      <c r="H177" s="363">
        <f>+'Yr 1 Operating Statement of Act'!G179</f>
        <v>0</v>
      </c>
      <c r="I177" s="364"/>
      <c r="J177" s="364"/>
      <c r="K177" s="364"/>
      <c r="L177" s="364"/>
      <c r="M177" s="364"/>
      <c r="N177" s="364"/>
      <c r="O177" s="364"/>
      <c r="P177" s="364"/>
      <c r="Q177" s="364"/>
      <c r="R177" s="364"/>
      <c r="S177" s="365"/>
      <c r="T177" s="365">
        <f t="shared" si="45"/>
        <v>0</v>
      </c>
      <c r="U177" s="365"/>
      <c r="V177" s="365">
        <f t="shared" si="37"/>
        <v>0</v>
      </c>
    </row>
    <row r="178" spans="1:22" x14ac:dyDescent="0.2">
      <c r="A178" s="3" t="s">
        <v>440</v>
      </c>
      <c r="B178" s="225">
        <v>125</v>
      </c>
      <c r="C178" s="37"/>
      <c r="D178" s="10" t="s">
        <v>98</v>
      </c>
      <c r="E178" s="10"/>
      <c r="F178" s="19" t="s">
        <v>99</v>
      </c>
      <c r="G178" s="159" t="s">
        <v>265</v>
      </c>
      <c r="H178" s="363">
        <f>+'Yr 1 Operating Statement of Act'!G180</f>
        <v>0</v>
      </c>
      <c r="I178" s="364"/>
      <c r="J178" s="364"/>
      <c r="K178" s="364"/>
      <c r="L178" s="364"/>
      <c r="M178" s="364"/>
      <c r="N178" s="364"/>
      <c r="O178" s="364"/>
      <c r="P178" s="364"/>
      <c r="Q178" s="364"/>
      <c r="R178" s="364"/>
      <c r="S178" s="365"/>
      <c r="T178" s="365">
        <f t="shared" si="45"/>
        <v>0</v>
      </c>
      <c r="U178" s="365"/>
      <c r="V178" s="365">
        <f t="shared" si="37"/>
        <v>0</v>
      </c>
    </row>
    <row r="179" spans="1:22" x14ac:dyDescent="0.2">
      <c r="A179" s="3" t="s">
        <v>440</v>
      </c>
      <c r="B179" s="225">
        <v>126</v>
      </c>
      <c r="C179" s="37"/>
      <c r="D179" s="10" t="s">
        <v>100</v>
      </c>
      <c r="E179" s="10"/>
      <c r="F179" s="19" t="s">
        <v>101</v>
      </c>
      <c r="G179" s="159" t="s">
        <v>265</v>
      </c>
      <c r="H179" s="363">
        <f>+'Yr 1 Operating Statement of Act'!G181</f>
        <v>0</v>
      </c>
      <c r="I179" s="364"/>
      <c r="J179" s="364"/>
      <c r="K179" s="364"/>
      <c r="L179" s="364"/>
      <c r="M179" s="364"/>
      <c r="N179" s="364"/>
      <c r="O179" s="364"/>
      <c r="P179" s="364"/>
      <c r="Q179" s="364"/>
      <c r="R179" s="364"/>
      <c r="S179" s="365"/>
      <c r="T179" s="365">
        <f t="shared" si="45"/>
        <v>0</v>
      </c>
      <c r="U179" s="365"/>
      <c r="V179" s="365">
        <f t="shared" si="37"/>
        <v>0</v>
      </c>
    </row>
    <row r="180" spans="1:22" x14ac:dyDescent="0.2">
      <c r="A180" s="3" t="s">
        <v>440</v>
      </c>
      <c r="B180" s="225">
        <v>127</v>
      </c>
      <c r="C180" s="37"/>
      <c r="D180" s="10" t="s">
        <v>219</v>
      </c>
      <c r="E180" s="10"/>
      <c r="F180" s="19" t="s">
        <v>220</v>
      </c>
      <c r="G180" s="159" t="s">
        <v>265</v>
      </c>
      <c r="H180" s="363">
        <f>+'Yr 1 Operating Statement of Act'!G182</f>
        <v>0</v>
      </c>
      <c r="I180" s="364"/>
      <c r="J180" s="364"/>
      <c r="K180" s="364"/>
      <c r="L180" s="364"/>
      <c r="M180" s="364"/>
      <c r="N180" s="364"/>
      <c r="O180" s="364"/>
      <c r="P180" s="364"/>
      <c r="Q180" s="364"/>
      <c r="R180" s="364"/>
      <c r="S180" s="365"/>
      <c r="T180" s="365">
        <f t="shared" si="45"/>
        <v>0</v>
      </c>
      <c r="U180" s="365"/>
      <c r="V180" s="365">
        <f t="shared" si="37"/>
        <v>0</v>
      </c>
    </row>
    <row r="181" spans="1:22" x14ac:dyDescent="0.2">
      <c r="A181" s="3" t="s">
        <v>440</v>
      </c>
      <c r="B181" s="225">
        <v>128</v>
      </c>
      <c r="C181" s="37"/>
      <c r="D181" s="10" t="s">
        <v>102</v>
      </c>
      <c r="E181" s="10"/>
      <c r="F181" s="19" t="s">
        <v>103</v>
      </c>
      <c r="G181" s="159" t="s">
        <v>265</v>
      </c>
      <c r="H181" s="363">
        <f>+'Yr 1 Operating Statement of Act'!G183</f>
        <v>0</v>
      </c>
      <c r="I181" s="364"/>
      <c r="J181" s="364"/>
      <c r="K181" s="364"/>
      <c r="L181" s="364"/>
      <c r="M181" s="364"/>
      <c r="N181" s="364"/>
      <c r="O181" s="364"/>
      <c r="P181" s="364"/>
      <c r="Q181" s="364"/>
      <c r="R181" s="364"/>
      <c r="S181" s="365"/>
      <c r="T181" s="365">
        <f t="shared" si="45"/>
        <v>0</v>
      </c>
      <c r="U181" s="365"/>
      <c r="V181" s="365">
        <f t="shared" si="37"/>
        <v>0</v>
      </c>
    </row>
    <row r="182" spans="1:22" x14ac:dyDescent="0.2">
      <c r="A182" s="3" t="s">
        <v>440</v>
      </c>
      <c r="B182" s="225">
        <v>129</v>
      </c>
      <c r="C182" s="37"/>
      <c r="D182" s="10" t="s">
        <v>104</v>
      </c>
      <c r="E182" s="10"/>
      <c r="F182" s="19" t="s">
        <v>105</v>
      </c>
      <c r="G182" s="159" t="s">
        <v>265</v>
      </c>
      <c r="H182" s="363">
        <f>+'Yr 1 Operating Statement of Act'!G184</f>
        <v>0</v>
      </c>
      <c r="I182" s="364"/>
      <c r="J182" s="364"/>
      <c r="K182" s="364"/>
      <c r="L182" s="364"/>
      <c r="M182" s="364"/>
      <c r="N182" s="364"/>
      <c r="O182" s="364"/>
      <c r="P182" s="364"/>
      <c r="Q182" s="364"/>
      <c r="R182" s="364"/>
      <c r="S182" s="365"/>
      <c r="T182" s="365">
        <f t="shared" si="45"/>
        <v>0</v>
      </c>
      <c r="U182" s="365"/>
      <c r="V182" s="365">
        <f t="shared" si="37"/>
        <v>0</v>
      </c>
    </row>
    <row r="183" spans="1:22" x14ac:dyDescent="0.2">
      <c r="A183" s="3" t="s">
        <v>440</v>
      </c>
      <c r="B183" s="225">
        <v>130</v>
      </c>
      <c r="C183" s="37"/>
      <c r="D183" s="86" t="s">
        <v>283</v>
      </c>
      <c r="E183" s="10"/>
      <c r="F183" s="19"/>
      <c r="G183" s="159"/>
      <c r="H183" s="363"/>
      <c r="I183" s="364"/>
      <c r="J183" s="364"/>
      <c r="K183" s="364"/>
      <c r="L183" s="364"/>
      <c r="M183" s="364"/>
      <c r="N183" s="364"/>
      <c r="O183" s="364"/>
      <c r="P183" s="364"/>
      <c r="Q183" s="364"/>
      <c r="R183" s="364"/>
      <c r="S183" s="365"/>
      <c r="T183" s="365">
        <f t="shared" si="45"/>
        <v>0</v>
      </c>
      <c r="U183" s="365"/>
      <c r="V183" s="365">
        <f t="shared" si="37"/>
        <v>0</v>
      </c>
    </row>
    <row r="184" spans="1:22" x14ac:dyDescent="0.2">
      <c r="A184" s="3" t="s">
        <v>440</v>
      </c>
      <c r="B184" s="225">
        <v>131</v>
      </c>
      <c r="C184" s="37"/>
      <c r="D184" s="86"/>
      <c r="E184" s="10"/>
      <c r="F184" s="19"/>
      <c r="G184" s="159"/>
      <c r="H184" s="363"/>
      <c r="I184" s="364"/>
      <c r="J184" s="364"/>
      <c r="K184" s="364"/>
      <c r="L184" s="364"/>
      <c r="M184" s="364"/>
      <c r="N184" s="364"/>
      <c r="O184" s="364"/>
      <c r="P184" s="364"/>
      <c r="Q184" s="364"/>
      <c r="R184" s="364"/>
      <c r="S184" s="365"/>
      <c r="T184" s="365">
        <f t="shared" si="45"/>
        <v>0</v>
      </c>
      <c r="U184" s="365"/>
      <c r="V184" s="365">
        <f t="shared" si="37"/>
        <v>0</v>
      </c>
    </row>
    <row r="185" spans="1:22" x14ac:dyDescent="0.2">
      <c r="A185" s="3" t="s">
        <v>440</v>
      </c>
      <c r="B185" s="225">
        <v>132</v>
      </c>
      <c r="C185" s="84"/>
      <c r="E185" s="14"/>
      <c r="F185" s="15"/>
      <c r="G185" s="167"/>
      <c r="H185" s="380"/>
      <c r="I185" s="381"/>
      <c r="J185" s="381"/>
      <c r="K185" s="381"/>
      <c r="L185" s="381"/>
      <c r="M185" s="381"/>
      <c r="N185" s="381"/>
      <c r="O185" s="381"/>
      <c r="P185" s="381"/>
      <c r="Q185" s="381"/>
      <c r="R185" s="381"/>
      <c r="S185" s="382"/>
      <c r="T185" s="365">
        <f t="shared" si="45"/>
        <v>0</v>
      </c>
      <c r="U185" s="365"/>
      <c r="V185" s="365">
        <f t="shared" si="37"/>
        <v>0</v>
      </c>
    </row>
    <row r="186" spans="1:22" ht="15" x14ac:dyDescent="0.25">
      <c r="A186" s="3" t="s">
        <v>440</v>
      </c>
      <c r="B186" s="226">
        <v>133</v>
      </c>
      <c r="C186" s="88" t="s">
        <v>125</v>
      </c>
      <c r="D186" s="52"/>
      <c r="E186" s="52"/>
      <c r="F186" s="50"/>
      <c r="G186" s="163"/>
      <c r="H186" s="372">
        <f t="shared" ref="H186:U186" si="46">SUM(H172:H185)</f>
        <v>1666.6666666666667</v>
      </c>
      <c r="I186" s="373">
        <f t="shared" si="46"/>
        <v>1666.6666666666667</v>
      </c>
      <c r="J186" s="373">
        <f t="shared" si="46"/>
        <v>1666.6666666666667</v>
      </c>
      <c r="K186" s="373">
        <f t="shared" si="46"/>
        <v>1666.6666666666667</v>
      </c>
      <c r="L186" s="373">
        <f t="shared" si="46"/>
        <v>1666.6666666666667</v>
      </c>
      <c r="M186" s="373">
        <f t="shared" si="46"/>
        <v>1666.6666666666667</v>
      </c>
      <c r="N186" s="373">
        <f t="shared" si="46"/>
        <v>1666.6666666666667</v>
      </c>
      <c r="O186" s="373">
        <f t="shared" si="46"/>
        <v>1666.6666666666667</v>
      </c>
      <c r="P186" s="373">
        <f t="shared" si="46"/>
        <v>1666.6666666666667</v>
      </c>
      <c r="Q186" s="373">
        <f t="shared" si="46"/>
        <v>1666.6666666666667</v>
      </c>
      <c r="R186" s="373">
        <f t="shared" si="46"/>
        <v>1666.6666666666667</v>
      </c>
      <c r="S186" s="374">
        <f t="shared" si="46"/>
        <v>1666.6666666666667</v>
      </c>
      <c r="T186" s="374">
        <f t="shared" si="46"/>
        <v>20000</v>
      </c>
      <c r="U186" s="374">
        <f t="shared" si="46"/>
        <v>0</v>
      </c>
      <c r="V186" s="374">
        <f t="shared" si="37"/>
        <v>20000</v>
      </c>
    </row>
    <row r="187" spans="1:22" ht="4.5" customHeight="1" x14ac:dyDescent="0.2">
      <c r="A187" s="3" t="s">
        <v>440</v>
      </c>
      <c r="B187" s="230"/>
      <c r="C187" s="36"/>
      <c r="D187" s="13"/>
      <c r="E187" s="13"/>
      <c r="F187" s="17"/>
      <c r="G187" s="171"/>
      <c r="H187" s="375"/>
      <c r="I187" s="376"/>
      <c r="J187" s="376"/>
      <c r="K187" s="376"/>
      <c r="L187" s="376"/>
      <c r="M187" s="376"/>
      <c r="N187" s="376"/>
      <c r="O187" s="376"/>
      <c r="P187" s="376"/>
      <c r="Q187" s="376"/>
      <c r="R187" s="376"/>
      <c r="S187" s="377"/>
      <c r="T187" s="377"/>
      <c r="U187" s="377"/>
      <c r="V187" s="377"/>
    </row>
    <row r="188" spans="1:22" s="5" customFormat="1" ht="15" x14ac:dyDescent="0.25">
      <c r="A188" s="3" t="s">
        <v>440</v>
      </c>
      <c r="B188" s="225"/>
      <c r="C188" s="89" t="s">
        <v>292</v>
      </c>
      <c r="D188" s="54"/>
      <c r="E188" s="54"/>
      <c r="F188" s="62"/>
      <c r="G188" s="158"/>
      <c r="H188" s="378"/>
      <c r="I188" s="366"/>
      <c r="J188" s="366"/>
      <c r="K188" s="366"/>
      <c r="L188" s="366"/>
      <c r="M188" s="366"/>
      <c r="N188" s="366"/>
      <c r="O188" s="366"/>
      <c r="P188" s="366"/>
      <c r="Q188" s="366"/>
      <c r="R188" s="366"/>
      <c r="S188" s="379"/>
      <c r="T188" s="379"/>
      <c r="U188" s="379"/>
      <c r="V188" s="379"/>
    </row>
    <row r="189" spans="1:22" x14ac:dyDescent="0.2">
      <c r="A189" s="3" t="s">
        <v>440</v>
      </c>
      <c r="B189" s="225"/>
      <c r="C189" s="26"/>
      <c r="D189" s="12" t="s">
        <v>1</v>
      </c>
      <c r="E189" s="12"/>
      <c r="F189" s="62"/>
      <c r="G189" s="158"/>
      <c r="H189" s="378"/>
      <c r="I189" s="366"/>
      <c r="J189" s="366"/>
      <c r="K189" s="366"/>
      <c r="L189" s="366"/>
      <c r="M189" s="366"/>
      <c r="N189" s="366"/>
      <c r="O189" s="366"/>
      <c r="P189" s="366"/>
      <c r="Q189" s="366"/>
      <c r="R189" s="366"/>
      <c r="S189" s="379"/>
      <c r="T189" s="379"/>
      <c r="U189" s="379"/>
      <c r="V189" s="379"/>
    </row>
    <row r="190" spans="1:22" x14ac:dyDescent="0.2">
      <c r="A190" s="3" t="s">
        <v>440</v>
      </c>
      <c r="B190" s="225">
        <v>134</v>
      </c>
      <c r="C190" s="37"/>
      <c r="D190" s="10"/>
      <c r="E190" s="10" t="s">
        <v>127</v>
      </c>
      <c r="F190" s="19">
        <v>332</v>
      </c>
      <c r="G190" s="159" t="s">
        <v>225</v>
      </c>
      <c r="H190" s="363">
        <f>+'Yr 1 Operating Statement of Act'!$G192/12</f>
        <v>2916.6666666666665</v>
      </c>
      <c r="I190" s="364">
        <f>+'Yr 1 Operating Statement of Act'!$G192/12</f>
        <v>2916.6666666666665</v>
      </c>
      <c r="J190" s="364">
        <f>+'Yr 1 Operating Statement of Act'!$G192/12</f>
        <v>2916.6666666666665</v>
      </c>
      <c r="K190" s="364">
        <f>+'Yr 1 Operating Statement of Act'!$G192/12</f>
        <v>2916.6666666666665</v>
      </c>
      <c r="L190" s="364">
        <f>+'Yr 1 Operating Statement of Act'!$G192/12</f>
        <v>2916.6666666666665</v>
      </c>
      <c r="M190" s="364">
        <f>+'Yr 1 Operating Statement of Act'!$G192/12</f>
        <v>2916.6666666666665</v>
      </c>
      <c r="N190" s="364">
        <f>+'Yr 1 Operating Statement of Act'!$G192/12</f>
        <v>2916.6666666666665</v>
      </c>
      <c r="O190" s="364">
        <f>+'Yr 1 Operating Statement of Act'!$G192/12</f>
        <v>2916.6666666666665</v>
      </c>
      <c r="P190" s="364">
        <f>+'Yr 1 Operating Statement of Act'!$G192/12</f>
        <v>2916.6666666666665</v>
      </c>
      <c r="Q190" s="364">
        <f>+'Yr 1 Operating Statement of Act'!$G192/12</f>
        <v>2916.6666666666665</v>
      </c>
      <c r="R190" s="364">
        <f>+'Yr 1 Operating Statement of Act'!$G192/12</f>
        <v>2916.6666666666665</v>
      </c>
      <c r="S190" s="365">
        <f>+'Yr 1 Operating Statement of Act'!$G192/12</f>
        <v>2916.6666666666665</v>
      </c>
      <c r="T190" s="365">
        <f t="shared" ref="T190:T200" si="47">SUM(H190:S190)</f>
        <v>35000.000000000007</v>
      </c>
      <c r="U190" s="365"/>
      <c r="V190" s="365">
        <f t="shared" si="37"/>
        <v>35000.000000000007</v>
      </c>
    </row>
    <row r="191" spans="1:22" x14ac:dyDescent="0.2">
      <c r="A191" s="3" t="s">
        <v>440</v>
      </c>
      <c r="B191" s="225">
        <v>135</v>
      </c>
      <c r="C191" s="37"/>
      <c r="D191" s="10"/>
      <c r="E191" s="10" t="s">
        <v>83</v>
      </c>
      <c r="F191" s="19" t="s">
        <v>84</v>
      </c>
      <c r="G191" s="159" t="s">
        <v>126</v>
      </c>
      <c r="H191" s="363">
        <f>+'Yr 1 Operating Statement of Act'!G193</f>
        <v>0</v>
      </c>
      <c r="I191" s="364"/>
      <c r="J191" s="364"/>
      <c r="K191" s="364"/>
      <c r="L191" s="364"/>
      <c r="M191" s="364"/>
      <c r="N191" s="364"/>
      <c r="O191" s="364"/>
      <c r="P191" s="364"/>
      <c r="Q191" s="364"/>
      <c r="R191" s="364"/>
      <c r="S191" s="365"/>
      <c r="T191" s="365">
        <f t="shared" si="47"/>
        <v>0</v>
      </c>
      <c r="U191" s="365"/>
      <c r="V191" s="365">
        <f t="shared" si="37"/>
        <v>0</v>
      </c>
    </row>
    <row r="192" spans="1:22" x14ac:dyDescent="0.2">
      <c r="A192" s="3" t="s">
        <v>440</v>
      </c>
      <c r="B192" s="225">
        <v>136</v>
      </c>
      <c r="C192" s="37"/>
      <c r="D192" s="10"/>
      <c r="E192" s="10" t="s">
        <v>128</v>
      </c>
      <c r="F192" s="19" t="s">
        <v>129</v>
      </c>
      <c r="G192" s="159" t="s">
        <v>126</v>
      </c>
      <c r="H192" s="363">
        <f>+'Yr 1 Operating Statement of Act'!$G194*0</f>
        <v>0</v>
      </c>
      <c r="I192" s="364">
        <f>+'Yr 1 Operating Statement of Act'!$G194*0</f>
        <v>0</v>
      </c>
      <c r="J192" s="364">
        <f>+'Yr 1 Operating Statement of Act'!$G194*0</f>
        <v>0</v>
      </c>
      <c r="K192" s="364">
        <f>+'Yr 1 Operating Statement of Act'!$G194*0</f>
        <v>0</v>
      </c>
      <c r="L192" s="364">
        <f>+'Yr 1 Operating Statement of Act'!$G194*0</f>
        <v>0</v>
      </c>
      <c r="M192" s="364">
        <f>+'Yr 1 Operating Statement of Act'!$G194*0</f>
        <v>0</v>
      </c>
      <c r="N192" s="364">
        <f>+'Yr 1 Operating Statement of Act'!$G194*0</f>
        <v>0</v>
      </c>
      <c r="O192" s="364">
        <f>+'Yr 1 Operating Statement of Act'!$G194*0</f>
        <v>0</v>
      </c>
      <c r="P192" s="364">
        <f>+'Yr 1 Operating Statement of Act'!$G194*0</f>
        <v>0</v>
      </c>
      <c r="Q192" s="364">
        <f>+'Yr 1 Operating Statement of Act'!$G194*0</f>
        <v>0</v>
      </c>
      <c r="R192" s="364">
        <f>+'Yr 1 Operating Statement of Act'!$G194*0</f>
        <v>0</v>
      </c>
      <c r="S192" s="365">
        <f>+'Yr 1 Operating Statement of Act'!$G194*0</f>
        <v>0</v>
      </c>
      <c r="T192" s="365">
        <f t="shared" si="47"/>
        <v>0</v>
      </c>
      <c r="U192" s="365">
        <f>+'Yr 1 Operating Statement of Act'!$G194*1</f>
        <v>6700</v>
      </c>
      <c r="V192" s="365">
        <f t="shared" si="37"/>
        <v>6700</v>
      </c>
    </row>
    <row r="193" spans="1:22" x14ac:dyDescent="0.2">
      <c r="A193" s="3" t="s">
        <v>440</v>
      </c>
      <c r="B193" s="225">
        <v>137</v>
      </c>
      <c r="C193" s="37"/>
      <c r="D193" s="10"/>
      <c r="E193" s="10" t="s">
        <v>130</v>
      </c>
      <c r="F193" s="19" t="s">
        <v>223</v>
      </c>
      <c r="G193" s="159" t="s">
        <v>225</v>
      </c>
      <c r="H193" s="363">
        <f>+'Yr 1 Operating Statement of Act'!$G195/12</f>
        <v>3490</v>
      </c>
      <c r="I193" s="364">
        <f>+'Yr 1 Operating Statement of Act'!$G195/12</f>
        <v>3490</v>
      </c>
      <c r="J193" s="364">
        <f>+'Yr 1 Operating Statement of Act'!$G195/12</f>
        <v>3490</v>
      </c>
      <c r="K193" s="364">
        <f>+'Yr 1 Operating Statement of Act'!$G195/12</f>
        <v>3490</v>
      </c>
      <c r="L193" s="364">
        <f>+'Yr 1 Operating Statement of Act'!$G195/12</f>
        <v>3490</v>
      </c>
      <c r="M193" s="364">
        <f>+'Yr 1 Operating Statement of Act'!$G195/12</f>
        <v>3490</v>
      </c>
      <c r="N193" s="364">
        <f>+'Yr 1 Operating Statement of Act'!$G195/12</f>
        <v>3490</v>
      </c>
      <c r="O193" s="364">
        <f>+'Yr 1 Operating Statement of Act'!$G195/12</f>
        <v>3490</v>
      </c>
      <c r="P193" s="364">
        <f>+'Yr 1 Operating Statement of Act'!$G195/12</f>
        <v>3490</v>
      </c>
      <c r="Q193" s="364">
        <f>+'Yr 1 Operating Statement of Act'!$G195/12</f>
        <v>3490</v>
      </c>
      <c r="R193" s="364">
        <f>+'Yr 1 Operating Statement of Act'!$G195/12</f>
        <v>3490</v>
      </c>
      <c r="S193" s="365">
        <f>+'Yr 1 Operating Statement of Act'!$G195/12</f>
        <v>3490</v>
      </c>
      <c r="T193" s="365">
        <f t="shared" si="47"/>
        <v>41880</v>
      </c>
      <c r="U193" s="365"/>
      <c r="V193" s="365">
        <f t="shared" si="37"/>
        <v>41880</v>
      </c>
    </row>
    <row r="194" spans="1:22" x14ac:dyDescent="0.2">
      <c r="A194" s="3" t="s">
        <v>440</v>
      </c>
      <c r="B194" s="225">
        <v>138</v>
      </c>
      <c r="C194" s="37"/>
      <c r="D194" s="10"/>
      <c r="E194" s="10" t="s">
        <v>131</v>
      </c>
      <c r="F194" s="19" t="s">
        <v>132</v>
      </c>
      <c r="G194" s="159" t="s">
        <v>126</v>
      </c>
      <c r="H194" s="363">
        <f>+'Yr 1 Operating Statement of Act'!$G196/12</f>
        <v>208.33333333333334</v>
      </c>
      <c r="I194" s="364">
        <f>+'Yr 1 Operating Statement of Act'!$G196/12</f>
        <v>208.33333333333334</v>
      </c>
      <c r="J194" s="364">
        <f>+'Yr 1 Operating Statement of Act'!$G196/12</f>
        <v>208.33333333333334</v>
      </c>
      <c r="K194" s="364">
        <f>+'Yr 1 Operating Statement of Act'!$G196/12</f>
        <v>208.33333333333334</v>
      </c>
      <c r="L194" s="364">
        <f>+'Yr 1 Operating Statement of Act'!$G196/12</f>
        <v>208.33333333333334</v>
      </c>
      <c r="M194" s="364">
        <f>+'Yr 1 Operating Statement of Act'!$G196/12</f>
        <v>208.33333333333334</v>
      </c>
      <c r="N194" s="364">
        <f>+'Yr 1 Operating Statement of Act'!$G196/12</f>
        <v>208.33333333333334</v>
      </c>
      <c r="O194" s="364">
        <f>+'Yr 1 Operating Statement of Act'!$G196/12</f>
        <v>208.33333333333334</v>
      </c>
      <c r="P194" s="364">
        <f>+'Yr 1 Operating Statement of Act'!$G196/12</f>
        <v>208.33333333333334</v>
      </c>
      <c r="Q194" s="364">
        <f>+'Yr 1 Operating Statement of Act'!$G196/12</f>
        <v>208.33333333333334</v>
      </c>
      <c r="R194" s="364">
        <f>+'Yr 1 Operating Statement of Act'!$G196/12</f>
        <v>208.33333333333334</v>
      </c>
      <c r="S194" s="365">
        <f>+'Yr 1 Operating Statement of Act'!$G196/12</f>
        <v>208.33333333333334</v>
      </c>
      <c r="T194" s="365">
        <f t="shared" si="47"/>
        <v>2500</v>
      </c>
      <c r="U194" s="365"/>
      <c r="V194" s="365">
        <f t="shared" si="37"/>
        <v>2500</v>
      </c>
    </row>
    <row r="195" spans="1:22" x14ac:dyDescent="0.2">
      <c r="A195" s="3" t="s">
        <v>440</v>
      </c>
      <c r="B195" s="225">
        <v>139</v>
      </c>
      <c r="C195" s="37"/>
      <c r="D195" s="10"/>
      <c r="E195" s="10" t="s">
        <v>5</v>
      </c>
      <c r="F195" s="19">
        <v>730</v>
      </c>
      <c r="G195" s="159" t="s">
        <v>225</v>
      </c>
      <c r="H195" s="363">
        <f>+'Yr 1 Operating Statement of Act'!G197</f>
        <v>0</v>
      </c>
      <c r="I195" s="364"/>
      <c r="J195" s="364"/>
      <c r="K195" s="364"/>
      <c r="L195" s="364"/>
      <c r="M195" s="364"/>
      <c r="N195" s="364"/>
      <c r="O195" s="364"/>
      <c r="P195" s="364"/>
      <c r="Q195" s="364"/>
      <c r="R195" s="364"/>
      <c r="S195" s="365"/>
      <c r="T195" s="365">
        <f t="shared" si="47"/>
        <v>0</v>
      </c>
      <c r="U195" s="365"/>
      <c r="V195" s="365">
        <f t="shared" si="37"/>
        <v>0</v>
      </c>
    </row>
    <row r="196" spans="1:22" x14ac:dyDescent="0.2">
      <c r="A196" s="3" t="s">
        <v>440</v>
      </c>
      <c r="B196" s="225">
        <v>140</v>
      </c>
      <c r="C196" s="37"/>
      <c r="D196" s="10"/>
      <c r="E196" s="10" t="s">
        <v>133</v>
      </c>
      <c r="F196" s="19" t="s">
        <v>116</v>
      </c>
      <c r="G196" s="159" t="s">
        <v>126</v>
      </c>
      <c r="H196" s="363">
        <f>('Yr 1 Operating Statement of Act'!$G198-'KIPP Assumptions'!$B$52)/12</f>
        <v>3040.3274999999994</v>
      </c>
      <c r="I196" s="364">
        <f>('Yr 1 Operating Statement of Act'!$G198-'KIPP Assumptions'!$B$52)/12</f>
        <v>3040.3274999999994</v>
      </c>
      <c r="J196" s="364">
        <f>('Yr 1 Operating Statement of Act'!$G198-'KIPP Assumptions'!$B$52)/12</f>
        <v>3040.3274999999994</v>
      </c>
      <c r="K196" s="364">
        <f>('Yr 1 Operating Statement of Act'!$G198-'KIPP Assumptions'!$B$52)/12</f>
        <v>3040.3274999999994</v>
      </c>
      <c r="L196" s="364">
        <f>('Yr 1 Operating Statement of Act'!$G198-'KIPP Assumptions'!$B$52)/12</f>
        <v>3040.3274999999994</v>
      </c>
      <c r="M196" s="364">
        <f>('Yr 1 Operating Statement of Act'!$G198-'KIPP Assumptions'!$B$52)/12</f>
        <v>3040.3274999999994</v>
      </c>
      <c r="N196" s="364">
        <f>('Yr 1 Operating Statement of Act'!$G198-'KIPP Assumptions'!$B$52)/12</f>
        <v>3040.3274999999994</v>
      </c>
      <c r="O196" s="364">
        <f>('Yr 1 Operating Statement of Act'!$G198-'KIPP Assumptions'!$B$52)/12</f>
        <v>3040.3274999999994</v>
      </c>
      <c r="P196" s="364">
        <f>('Yr 1 Operating Statement of Act'!$G198-'KIPP Assumptions'!$B$52)/12</f>
        <v>3040.3274999999994</v>
      </c>
      <c r="Q196" s="364">
        <f>('Yr 1 Operating Statement of Act'!$G198-'KIPP Assumptions'!$B$52)/12</f>
        <v>3040.3274999999994</v>
      </c>
      <c r="R196" s="364">
        <f>('Yr 1 Operating Statement of Act'!$G198-'KIPP Assumptions'!$B$52)/12</f>
        <v>3040.3274999999994</v>
      </c>
      <c r="S196" s="365">
        <f>('Yr 1 Operating Statement of Act'!$G198-'KIPP Assumptions'!$B$52)/12+'KIPP Assumptions'!$B$52</f>
        <v>33040.327499999999</v>
      </c>
      <c r="T196" s="365">
        <f t="shared" si="47"/>
        <v>66483.929999999993</v>
      </c>
      <c r="U196" s="365"/>
      <c r="V196" s="365">
        <f t="shared" si="37"/>
        <v>66483.929999999993</v>
      </c>
    </row>
    <row r="197" spans="1:22" x14ac:dyDescent="0.2">
      <c r="A197" s="3" t="s">
        <v>440</v>
      </c>
      <c r="B197" s="225">
        <v>141</v>
      </c>
      <c r="C197" s="37"/>
      <c r="D197" s="10"/>
      <c r="E197" s="10" t="s">
        <v>134</v>
      </c>
      <c r="F197" s="19" t="s">
        <v>135</v>
      </c>
      <c r="G197" s="159" t="s">
        <v>126</v>
      </c>
      <c r="H197" s="363">
        <f>+'Yr 1 Operating Statement of Act'!G199</f>
        <v>0</v>
      </c>
      <c r="I197" s="364"/>
      <c r="J197" s="364"/>
      <c r="K197" s="364"/>
      <c r="L197" s="364"/>
      <c r="M197" s="364"/>
      <c r="N197" s="364"/>
      <c r="O197" s="364"/>
      <c r="P197" s="364"/>
      <c r="Q197" s="364"/>
      <c r="R197" s="364"/>
      <c r="S197" s="365"/>
      <c r="T197" s="365">
        <f t="shared" si="47"/>
        <v>0</v>
      </c>
      <c r="U197" s="365"/>
      <c r="V197" s="365">
        <f t="shared" si="37"/>
        <v>0</v>
      </c>
    </row>
    <row r="198" spans="1:22" x14ac:dyDescent="0.2">
      <c r="A198" s="3" t="s">
        <v>440</v>
      </c>
      <c r="B198" s="225">
        <v>142</v>
      </c>
      <c r="C198" s="37"/>
      <c r="D198" s="86" t="s">
        <v>283</v>
      </c>
      <c r="E198" s="10"/>
      <c r="F198" s="19"/>
      <c r="G198" s="159"/>
      <c r="H198" s="363"/>
      <c r="I198" s="364"/>
      <c r="J198" s="364"/>
      <c r="K198" s="364"/>
      <c r="L198" s="364"/>
      <c r="M198" s="364"/>
      <c r="N198" s="364"/>
      <c r="O198" s="364"/>
      <c r="P198" s="364"/>
      <c r="Q198" s="364"/>
      <c r="R198" s="364"/>
      <c r="S198" s="365"/>
      <c r="T198" s="365">
        <f t="shared" si="47"/>
        <v>0</v>
      </c>
      <c r="U198" s="365"/>
      <c r="V198" s="365">
        <f t="shared" si="37"/>
        <v>0</v>
      </c>
    </row>
    <row r="199" spans="1:22" x14ac:dyDescent="0.2">
      <c r="A199" s="3" t="s">
        <v>440</v>
      </c>
      <c r="B199" s="225">
        <v>143</v>
      </c>
      <c r="C199" s="108"/>
      <c r="D199" s="109"/>
      <c r="E199" s="110" t="s">
        <v>448</v>
      </c>
      <c r="F199" s="19">
        <v>310</v>
      </c>
      <c r="G199" s="159" t="s">
        <v>447</v>
      </c>
      <c r="H199" s="363">
        <f>'Yr 1 Operating Statement of Act'!$G201*0</f>
        <v>0</v>
      </c>
      <c r="I199" s="364">
        <f>'Yr 1 Operating Statement of Act'!$G201*0</f>
        <v>0</v>
      </c>
      <c r="J199" s="364">
        <f>'Yr 1 Operating Statement of Act'!$G201*0</f>
        <v>0</v>
      </c>
      <c r="K199" s="364">
        <f>'Yr 1 Operating Statement of Act'!$G201*0</f>
        <v>0</v>
      </c>
      <c r="L199" s="364">
        <f>'Yr 1 Operating Statement of Act'!$G201*0</f>
        <v>0</v>
      </c>
      <c r="M199" s="364">
        <f>'Yr 1 Operating Statement of Act'!$G201*0</f>
        <v>0</v>
      </c>
      <c r="N199" s="364">
        <f>'Yr 1 Operating Statement of Act'!$G201*0</f>
        <v>0</v>
      </c>
      <c r="O199" s="364">
        <f>'Yr 1 Operating Statement of Act'!$G201*0</f>
        <v>0</v>
      </c>
      <c r="P199" s="364">
        <f>'Yr 1 Operating Statement of Act'!$G201*0</f>
        <v>0</v>
      </c>
      <c r="Q199" s="364">
        <f>'Yr 1 Operating Statement of Act'!$G201*0</f>
        <v>0</v>
      </c>
      <c r="R199" s="364">
        <f>'Yr 1 Operating Statement of Act'!$G201*0</f>
        <v>0</v>
      </c>
      <c r="S199" s="365">
        <f>'Yr 1 Operating Statement of Act'!$G201*1</f>
        <v>343415.58</v>
      </c>
      <c r="T199" s="365">
        <f t="shared" si="47"/>
        <v>343415.58</v>
      </c>
      <c r="U199" s="365"/>
      <c r="V199" s="365">
        <f t="shared" si="37"/>
        <v>343415.58</v>
      </c>
    </row>
    <row r="200" spans="1:22" x14ac:dyDescent="0.2">
      <c r="A200" s="3" t="s">
        <v>440</v>
      </c>
      <c r="B200" s="225">
        <v>144</v>
      </c>
      <c r="C200" s="37"/>
      <c r="D200" s="10"/>
      <c r="E200" s="10"/>
      <c r="F200" s="19"/>
      <c r="G200" s="159"/>
      <c r="H200" s="363"/>
      <c r="I200" s="364"/>
      <c r="J200" s="364"/>
      <c r="K200" s="364"/>
      <c r="L200" s="364"/>
      <c r="M200" s="364"/>
      <c r="N200" s="364"/>
      <c r="O200" s="364"/>
      <c r="P200" s="364"/>
      <c r="Q200" s="364"/>
      <c r="R200" s="364"/>
      <c r="S200" s="365"/>
      <c r="T200" s="365">
        <f t="shared" si="47"/>
        <v>0</v>
      </c>
      <c r="U200" s="365"/>
      <c r="V200" s="365">
        <f t="shared" si="37"/>
        <v>0</v>
      </c>
    </row>
    <row r="201" spans="1:22" ht="15" x14ac:dyDescent="0.25">
      <c r="A201" s="3" t="s">
        <v>440</v>
      </c>
      <c r="B201" s="226">
        <v>145</v>
      </c>
      <c r="C201" s="88" t="s">
        <v>136</v>
      </c>
      <c r="D201" s="52"/>
      <c r="E201" s="52"/>
      <c r="F201" s="50"/>
      <c r="G201" s="163"/>
      <c r="H201" s="372">
        <f t="shared" ref="H201:U201" si="48">SUM(H190:H200)</f>
        <v>9655.3274999999994</v>
      </c>
      <c r="I201" s="373">
        <f t="shared" si="48"/>
        <v>9655.3274999999994</v>
      </c>
      <c r="J201" s="373">
        <f t="shared" si="48"/>
        <v>9655.3274999999994</v>
      </c>
      <c r="K201" s="373">
        <f t="shared" si="48"/>
        <v>9655.3274999999994</v>
      </c>
      <c r="L201" s="373">
        <f t="shared" si="48"/>
        <v>9655.3274999999994</v>
      </c>
      <c r="M201" s="373">
        <f t="shared" si="48"/>
        <v>9655.3274999999994</v>
      </c>
      <c r="N201" s="373">
        <f t="shared" si="48"/>
        <v>9655.3274999999994</v>
      </c>
      <c r="O201" s="373">
        <f t="shared" si="48"/>
        <v>9655.3274999999994</v>
      </c>
      <c r="P201" s="373">
        <f t="shared" si="48"/>
        <v>9655.3274999999994</v>
      </c>
      <c r="Q201" s="373">
        <f t="shared" si="48"/>
        <v>9655.3274999999994</v>
      </c>
      <c r="R201" s="373">
        <f t="shared" si="48"/>
        <v>9655.3274999999994</v>
      </c>
      <c r="S201" s="374">
        <f t="shared" si="48"/>
        <v>383070.90750000003</v>
      </c>
      <c r="T201" s="374">
        <f t="shared" si="48"/>
        <v>489279.51</v>
      </c>
      <c r="U201" s="374">
        <f t="shared" si="48"/>
        <v>6700</v>
      </c>
      <c r="V201" s="374">
        <f t="shared" si="37"/>
        <v>495979.51</v>
      </c>
    </row>
    <row r="202" spans="1:22" x14ac:dyDescent="0.2">
      <c r="A202" s="3" t="s">
        <v>440</v>
      </c>
      <c r="B202" s="225"/>
      <c r="C202" s="37"/>
      <c r="D202" s="10"/>
      <c r="E202" s="10"/>
      <c r="F202" s="19"/>
      <c r="G202" s="159"/>
      <c r="H202" s="363"/>
      <c r="I202" s="364"/>
      <c r="J202" s="364"/>
      <c r="K202" s="364"/>
      <c r="L202" s="364"/>
      <c r="M202" s="364"/>
      <c r="N202" s="364"/>
      <c r="O202" s="364"/>
      <c r="P202" s="364"/>
      <c r="Q202" s="364"/>
      <c r="R202" s="364"/>
      <c r="S202" s="365"/>
      <c r="T202" s="365"/>
      <c r="U202" s="365"/>
      <c r="V202" s="365"/>
    </row>
    <row r="203" spans="1:22" s="5" customFormat="1" ht="15" x14ac:dyDescent="0.25">
      <c r="A203" s="3" t="s">
        <v>440</v>
      </c>
      <c r="B203" s="225"/>
      <c r="C203" s="89" t="s">
        <v>26</v>
      </c>
      <c r="D203" s="54"/>
      <c r="E203" s="54"/>
      <c r="F203" s="62"/>
      <c r="G203" s="158"/>
      <c r="H203" s="378"/>
      <c r="I203" s="366"/>
      <c r="J203" s="366"/>
      <c r="K203" s="366"/>
      <c r="L203" s="366"/>
      <c r="M203" s="366"/>
      <c r="N203" s="366"/>
      <c r="O203" s="366"/>
      <c r="P203" s="366"/>
      <c r="Q203" s="366"/>
      <c r="R203" s="366"/>
      <c r="S203" s="379"/>
      <c r="T203" s="379"/>
      <c r="U203" s="379"/>
      <c r="V203" s="379"/>
    </row>
    <row r="204" spans="1:22" x14ac:dyDescent="0.2">
      <c r="A204" s="3" t="s">
        <v>440</v>
      </c>
      <c r="B204" s="225"/>
      <c r="C204" s="37"/>
      <c r="D204" s="10" t="s">
        <v>76</v>
      </c>
      <c r="E204" s="10"/>
      <c r="F204" s="62"/>
      <c r="G204" s="158"/>
      <c r="H204" s="378"/>
      <c r="I204" s="366"/>
      <c r="J204" s="366"/>
      <c r="K204" s="366"/>
      <c r="L204" s="366"/>
      <c r="M204" s="366"/>
      <c r="N204" s="366"/>
      <c r="O204" s="366"/>
      <c r="P204" s="366"/>
      <c r="Q204" s="366"/>
      <c r="R204" s="366"/>
      <c r="S204" s="379"/>
      <c r="T204" s="379"/>
      <c r="U204" s="379"/>
      <c r="V204" s="379"/>
    </row>
    <row r="205" spans="1:22" x14ac:dyDescent="0.2">
      <c r="A205" s="3" t="s">
        <v>440</v>
      </c>
      <c r="B205" s="225">
        <v>146</v>
      </c>
      <c r="C205" s="37"/>
      <c r="D205" s="10"/>
      <c r="E205" s="10" t="s">
        <v>137</v>
      </c>
      <c r="F205" s="19" t="s">
        <v>118</v>
      </c>
      <c r="G205" s="159" t="s">
        <v>138</v>
      </c>
      <c r="H205" s="363">
        <f>+'Yr 1 Operating Statement of Act'!$G207/12</f>
        <v>15000</v>
      </c>
      <c r="I205" s="364">
        <f>+'Yr 1 Operating Statement of Act'!$G207/12</f>
        <v>15000</v>
      </c>
      <c r="J205" s="364">
        <f>+'Yr 1 Operating Statement of Act'!$G207/12</f>
        <v>15000</v>
      </c>
      <c r="K205" s="364">
        <f>+'Yr 1 Operating Statement of Act'!$G207/12</f>
        <v>15000</v>
      </c>
      <c r="L205" s="364">
        <f>+'Yr 1 Operating Statement of Act'!$G207/12</f>
        <v>15000</v>
      </c>
      <c r="M205" s="364">
        <f>+'Yr 1 Operating Statement of Act'!$G207/12</f>
        <v>15000</v>
      </c>
      <c r="N205" s="364">
        <f>+'Yr 1 Operating Statement of Act'!$G207/12</f>
        <v>15000</v>
      </c>
      <c r="O205" s="364">
        <f>+'Yr 1 Operating Statement of Act'!$G207/12</f>
        <v>15000</v>
      </c>
      <c r="P205" s="364">
        <f>+'Yr 1 Operating Statement of Act'!$G207/12</f>
        <v>15000</v>
      </c>
      <c r="Q205" s="364">
        <f>+'Yr 1 Operating Statement of Act'!$G207/12</f>
        <v>15000</v>
      </c>
      <c r="R205" s="364">
        <f>+'Yr 1 Operating Statement of Act'!$G207/12</f>
        <v>15000</v>
      </c>
      <c r="S205" s="365">
        <f>+'Yr 1 Operating Statement of Act'!$G207/12</f>
        <v>15000</v>
      </c>
      <c r="T205" s="365">
        <f t="shared" ref="T205:T225" si="49">SUM(H205:S205)</f>
        <v>180000</v>
      </c>
      <c r="U205" s="365"/>
      <c r="V205" s="365">
        <f t="shared" ref="V205:V265" si="50">+T205+U205</f>
        <v>180000</v>
      </c>
    </row>
    <row r="206" spans="1:22" x14ac:dyDescent="0.2">
      <c r="A206" s="3" t="s">
        <v>440</v>
      </c>
      <c r="B206" s="225">
        <v>147</v>
      </c>
      <c r="C206" s="37"/>
      <c r="D206" s="10"/>
      <c r="E206" s="10" t="s">
        <v>139</v>
      </c>
      <c r="F206" s="19" t="s">
        <v>118</v>
      </c>
      <c r="G206" s="159" t="s">
        <v>140</v>
      </c>
      <c r="H206" s="363">
        <f>+'Yr 1 Operating Statement of Act'!$G208/12</f>
        <v>14750</v>
      </c>
      <c r="I206" s="364">
        <f>+'Yr 1 Operating Statement of Act'!$G208/12</f>
        <v>14750</v>
      </c>
      <c r="J206" s="364">
        <f>+'Yr 1 Operating Statement of Act'!$G208/12</f>
        <v>14750</v>
      </c>
      <c r="K206" s="364">
        <f>+'Yr 1 Operating Statement of Act'!$G208/12</f>
        <v>14750</v>
      </c>
      <c r="L206" s="364">
        <f>+'Yr 1 Operating Statement of Act'!$G208/12</f>
        <v>14750</v>
      </c>
      <c r="M206" s="364">
        <f>+'Yr 1 Operating Statement of Act'!$G208/12</f>
        <v>14750</v>
      </c>
      <c r="N206" s="364">
        <f>+'Yr 1 Operating Statement of Act'!$G208/12</f>
        <v>14750</v>
      </c>
      <c r="O206" s="364">
        <f>+'Yr 1 Operating Statement of Act'!$G208/12</f>
        <v>14750</v>
      </c>
      <c r="P206" s="364">
        <f>+'Yr 1 Operating Statement of Act'!$G208/12</f>
        <v>14750</v>
      </c>
      <c r="Q206" s="364">
        <f>+'Yr 1 Operating Statement of Act'!$G208/12</f>
        <v>14750</v>
      </c>
      <c r="R206" s="364">
        <f>+'Yr 1 Operating Statement of Act'!$G208/12</f>
        <v>14750</v>
      </c>
      <c r="S206" s="365">
        <f>+'Yr 1 Operating Statement of Act'!$G208/12</f>
        <v>14750</v>
      </c>
      <c r="T206" s="365">
        <f t="shared" si="49"/>
        <v>177000</v>
      </c>
      <c r="U206" s="365"/>
      <c r="V206" s="365">
        <f t="shared" si="50"/>
        <v>177000</v>
      </c>
    </row>
    <row r="207" spans="1:22" x14ac:dyDescent="0.2">
      <c r="A207" s="3" t="s">
        <v>440</v>
      </c>
      <c r="B207" s="225">
        <v>148</v>
      </c>
      <c r="C207" s="37"/>
      <c r="D207" s="10"/>
      <c r="E207" s="10" t="s">
        <v>141</v>
      </c>
      <c r="F207" s="19" t="s">
        <v>119</v>
      </c>
      <c r="G207" s="159" t="s">
        <v>142</v>
      </c>
      <c r="H207" s="363">
        <f>+'Yr 1 Operating Statement of Act'!$G209/12</f>
        <v>4083.3333333333335</v>
      </c>
      <c r="I207" s="364">
        <f>+'Yr 1 Operating Statement of Act'!$G209/12</f>
        <v>4083.3333333333335</v>
      </c>
      <c r="J207" s="364">
        <f>+'Yr 1 Operating Statement of Act'!$G209/12</f>
        <v>4083.3333333333335</v>
      </c>
      <c r="K207" s="364">
        <f>+'Yr 1 Operating Statement of Act'!$G209/12</f>
        <v>4083.3333333333335</v>
      </c>
      <c r="L207" s="364">
        <f>+'Yr 1 Operating Statement of Act'!$G209/12</f>
        <v>4083.3333333333335</v>
      </c>
      <c r="M207" s="364">
        <f>+'Yr 1 Operating Statement of Act'!$G209/12</f>
        <v>4083.3333333333335</v>
      </c>
      <c r="N207" s="364">
        <f>+'Yr 1 Operating Statement of Act'!$G209/12</f>
        <v>4083.3333333333335</v>
      </c>
      <c r="O207" s="364">
        <f>+'Yr 1 Operating Statement of Act'!$G209/12</f>
        <v>4083.3333333333335</v>
      </c>
      <c r="P207" s="364">
        <f>+'Yr 1 Operating Statement of Act'!$G209/12</f>
        <v>4083.3333333333335</v>
      </c>
      <c r="Q207" s="364">
        <f>+'Yr 1 Operating Statement of Act'!$G209/12</f>
        <v>4083.3333333333335</v>
      </c>
      <c r="R207" s="364">
        <f>+'Yr 1 Operating Statement of Act'!$G209/12</f>
        <v>4083.3333333333335</v>
      </c>
      <c r="S207" s="365">
        <f>+'Yr 1 Operating Statement of Act'!$G209/12</f>
        <v>4083.3333333333335</v>
      </c>
      <c r="T207" s="365">
        <f t="shared" si="49"/>
        <v>49000.000000000007</v>
      </c>
      <c r="U207" s="365"/>
      <c r="V207" s="365">
        <f t="shared" si="50"/>
        <v>49000.000000000007</v>
      </c>
    </row>
    <row r="208" spans="1:22" x14ac:dyDescent="0.2">
      <c r="A208" s="3" t="s">
        <v>440</v>
      </c>
      <c r="B208" s="225">
        <v>149</v>
      </c>
      <c r="C208" s="37"/>
      <c r="D208" s="10" t="s">
        <v>83</v>
      </c>
      <c r="E208" s="10"/>
      <c r="F208" s="19" t="s">
        <v>84</v>
      </c>
      <c r="G208" s="159" t="s">
        <v>142</v>
      </c>
      <c r="H208" s="363">
        <f>+'Yr 1 Operating Statement of Act'!$G210/12</f>
        <v>283.33333333333331</v>
      </c>
      <c r="I208" s="364">
        <f>+'Yr 1 Operating Statement of Act'!$G210/12</f>
        <v>283.33333333333331</v>
      </c>
      <c r="J208" s="364">
        <f>+'Yr 1 Operating Statement of Act'!$G210/12</f>
        <v>283.33333333333331</v>
      </c>
      <c r="K208" s="364">
        <f>+'Yr 1 Operating Statement of Act'!$G210/12</f>
        <v>283.33333333333331</v>
      </c>
      <c r="L208" s="364">
        <f>+'Yr 1 Operating Statement of Act'!$G210/12</f>
        <v>283.33333333333331</v>
      </c>
      <c r="M208" s="364">
        <f>+'Yr 1 Operating Statement of Act'!$G210/12</f>
        <v>283.33333333333331</v>
      </c>
      <c r="N208" s="364">
        <f>+'Yr 1 Operating Statement of Act'!$G210/12</f>
        <v>283.33333333333331</v>
      </c>
      <c r="O208" s="364">
        <f>+'Yr 1 Operating Statement of Act'!$G210/12</f>
        <v>283.33333333333331</v>
      </c>
      <c r="P208" s="364">
        <f>+'Yr 1 Operating Statement of Act'!$G210/12</f>
        <v>283.33333333333331</v>
      </c>
      <c r="Q208" s="364">
        <f>+'Yr 1 Operating Statement of Act'!$G210/12</f>
        <v>283.33333333333331</v>
      </c>
      <c r="R208" s="364">
        <f>+'Yr 1 Operating Statement of Act'!$G210/12</f>
        <v>283.33333333333331</v>
      </c>
      <c r="S208" s="365">
        <f>+'Yr 1 Operating Statement of Act'!$G210/12</f>
        <v>283.33333333333331</v>
      </c>
      <c r="T208" s="365">
        <f t="shared" si="49"/>
        <v>3400.0000000000005</v>
      </c>
      <c r="U208" s="365"/>
      <c r="V208" s="365">
        <f t="shared" si="50"/>
        <v>3400.0000000000005</v>
      </c>
    </row>
    <row r="209" spans="1:22" x14ac:dyDescent="0.2">
      <c r="A209" s="3" t="s">
        <v>440</v>
      </c>
      <c r="B209" s="225">
        <v>150</v>
      </c>
      <c r="C209" s="37"/>
      <c r="D209" s="10" t="s">
        <v>85</v>
      </c>
      <c r="E209" s="10"/>
      <c r="F209" s="19" t="s">
        <v>86</v>
      </c>
      <c r="G209" s="159" t="s">
        <v>142</v>
      </c>
      <c r="H209" s="363">
        <f>+'Yr 1 Operating Statement of Act'!G211</f>
        <v>0</v>
      </c>
      <c r="I209" s="364"/>
      <c r="J209" s="364"/>
      <c r="K209" s="364"/>
      <c r="L209" s="364"/>
      <c r="M209" s="364"/>
      <c r="N209" s="364"/>
      <c r="O209" s="364"/>
      <c r="P209" s="364"/>
      <c r="Q209" s="364"/>
      <c r="R209" s="364"/>
      <c r="S209" s="365"/>
      <c r="T209" s="365">
        <f t="shared" si="49"/>
        <v>0</v>
      </c>
      <c r="U209" s="365"/>
      <c r="V209" s="365">
        <f t="shared" si="50"/>
        <v>0</v>
      </c>
    </row>
    <row r="210" spans="1:22" x14ac:dyDescent="0.2">
      <c r="A210" s="3" t="s">
        <v>440</v>
      </c>
      <c r="B210" s="225">
        <v>151</v>
      </c>
      <c r="C210" s="37"/>
      <c r="D210" s="10" t="s">
        <v>111</v>
      </c>
      <c r="E210" s="10"/>
      <c r="F210" s="19" t="s">
        <v>112</v>
      </c>
      <c r="G210" s="159" t="s">
        <v>142</v>
      </c>
      <c r="H210" s="363">
        <f>+'Yr 1 Operating Statement of Act'!G212</f>
        <v>0</v>
      </c>
      <c r="I210" s="364"/>
      <c r="J210" s="364"/>
      <c r="K210" s="364"/>
      <c r="L210" s="364"/>
      <c r="M210" s="364"/>
      <c r="N210" s="364"/>
      <c r="O210" s="364"/>
      <c r="P210" s="364"/>
      <c r="Q210" s="364"/>
      <c r="R210" s="364"/>
      <c r="S210" s="365"/>
      <c r="T210" s="365">
        <f t="shared" si="49"/>
        <v>0</v>
      </c>
      <c r="U210" s="365"/>
      <c r="V210" s="365">
        <f t="shared" si="50"/>
        <v>0</v>
      </c>
    </row>
    <row r="211" spans="1:22" x14ac:dyDescent="0.2">
      <c r="A211" s="3" t="s">
        <v>440</v>
      </c>
      <c r="B211" s="225">
        <v>152</v>
      </c>
      <c r="C211" s="37"/>
      <c r="D211" s="10" t="s">
        <v>143</v>
      </c>
      <c r="E211" s="10"/>
      <c r="F211" s="19" t="s">
        <v>144</v>
      </c>
      <c r="G211" s="159" t="s">
        <v>142</v>
      </c>
      <c r="H211" s="363">
        <f>+'Yr 1 Operating Statement of Act'!G213</f>
        <v>0</v>
      </c>
      <c r="I211" s="364"/>
      <c r="J211" s="364"/>
      <c r="K211" s="364"/>
      <c r="L211" s="364"/>
      <c r="M211" s="364"/>
      <c r="N211" s="364"/>
      <c r="O211" s="364"/>
      <c r="P211" s="364"/>
      <c r="Q211" s="364"/>
      <c r="R211" s="364"/>
      <c r="S211" s="365"/>
      <c r="T211" s="365">
        <f t="shared" si="49"/>
        <v>0</v>
      </c>
      <c r="U211" s="365"/>
      <c r="V211" s="365">
        <f t="shared" si="50"/>
        <v>0</v>
      </c>
    </row>
    <row r="212" spans="1:22" x14ac:dyDescent="0.2">
      <c r="A212" s="3" t="s">
        <v>440</v>
      </c>
      <c r="B212" s="225">
        <v>153</v>
      </c>
      <c r="C212" s="37"/>
      <c r="D212" s="10" t="s">
        <v>87</v>
      </c>
      <c r="E212" s="10"/>
      <c r="F212" s="19" t="s">
        <v>88</v>
      </c>
      <c r="G212" s="159" t="s">
        <v>142</v>
      </c>
      <c r="H212" s="363">
        <f>+'Yr 1 Operating Statement of Act'!$G214/12</f>
        <v>416.66666666666669</v>
      </c>
      <c r="I212" s="364">
        <f>+'Yr 1 Operating Statement of Act'!$G214/12</f>
        <v>416.66666666666669</v>
      </c>
      <c r="J212" s="364">
        <f>+'Yr 1 Operating Statement of Act'!$G214/12</f>
        <v>416.66666666666669</v>
      </c>
      <c r="K212" s="364">
        <f>+'Yr 1 Operating Statement of Act'!$G214/12</f>
        <v>416.66666666666669</v>
      </c>
      <c r="L212" s="364">
        <f>+'Yr 1 Operating Statement of Act'!$G214/12</f>
        <v>416.66666666666669</v>
      </c>
      <c r="M212" s="364">
        <f>+'Yr 1 Operating Statement of Act'!$G214/12</f>
        <v>416.66666666666669</v>
      </c>
      <c r="N212" s="364">
        <f>+'Yr 1 Operating Statement of Act'!$G214/12</f>
        <v>416.66666666666669</v>
      </c>
      <c r="O212" s="364">
        <f>+'Yr 1 Operating Statement of Act'!$G214/12</f>
        <v>416.66666666666669</v>
      </c>
      <c r="P212" s="364">
        <f>+'Yr 1 Operating Statement of Act'!$G214/12</f>
        <v>416.66666666666669</v>
      </c>
      <c r="Q212" s="364">
        <f>+'Yr 1 Operating Statement of Act'!$G214/12</f>
        <v>416.66666666666669</v>
      </c>
      <c r="R212" s="364">
        <f>+'Yr 1 Operating Statement of Act'!$G214/12</f>
        <v>416.66666666666669</v>
      </c>
      <c r="S212" s="365">
        <f>+'Yr 1 Operating Statement of Act'!$G214/12</f>
        <v>416.66666666666669</v>
      </c>
      <c r="T212" s="365">
        <f t="shared" si="49"/>
        <v>5000</v>
      </c>
      <c r="U212" s="365"/>
      <c r="V212" s="365">
        <f t="shared" si="50"/>
        <v>5000</v>
      </c>
    </row>
    <row r="213" spans="1:22" x14ac:dyDescent="0.2">
      <c r="A213" s="3" t="s">
        <v>440</v>
      </c>
      <c r="B213" s="225">
        <v>154</v>
      </c>
      <c r="C213" s="37"/>
      <c r="D213" s="10" t="s">
        <v>110</v>
      </c>
      <c r="E213" s="10"/>
      <c r="F213" s="19" t="s">
        <v>90</v>
      </c>
      <c r="G213" s="159" t="s">
        <v>142</v>
      </c>
      <c r="H213" s="363">
        <f>+'Yr 1 Operating Statement of Act'!$G215*0.2</f>
        <v>4370</v>
      </c>
      <c r="I213" s="364">
        <f>+'Yr 1 Operating Statement of Act'!$G215*0.15</f>
        <v>3277.5</v>
      </c>
      <c r="J213" s="364">
        <f>+'Yr 1 Operating Statement of Act'!$G215*0.05</f>
        <v>1092.5</v>
      </c>
      <c r="K213" s="364">
        <f>+'Yr 1 Operating Statement of Act'!$G215*0.05</f>
        <v>1092.5</v>
      </c>
      <c r="L213" s="364">
        <f>+'Yr 1 Operating Statement of Act'!$G215*0.05</f>
        <v>1092.5</v>
      </c>
      <c r="M213" s="364">
        <f>+'Yr 1 Operating Statement of Act'!$G215*0.05</f>
        <v>1092.5</v>
      </c>
      <c r="N213" s="364">
        <f>+'Yr 1 Operating Statement of Act'!$G215*0.05</f>
        <v>1092.5</v>
      </c>
      <c r="O213" s="364">
        <f>+'Yr 1 Operating Statement of Act'!$G215*0.05</f>
        <v>1092.5</v>
      </c>
      <c r="P213" s="364">
        <f>+'Yr 1 Operating Statement of Act'!$G215*0.05</f>
        <v>1092.5</v>
      </c>
      <c r="Q213" s="364">
        <f>+'Yr 1 Operating Statement of Act'!$G215*0.05</f>
        <v>1092.5</v>
      </c>
      <c r="R213" s="364">
        <f>+'Yr 1 Operating Statement of Act'!$G215*0.05</f>
        <v>1092.5</v>
      </c>
      <c r="S213" s="365">
        <f>+'Yr 1 Operating Statement of Act'!$G215*0.1</f>
        <v>2185</v>
      </c>
      <c r="T213" s="365">
        <f t="shared" si="49"/>
        <v>19665</v>
      </c>
      <c r="U213" s="365">
        <f>+'Yr 1 Operating Statement of Act'!$G215*0.1</f>
        <v>2185</v>
      </c>
      <c r="V213" s="365">
        <f t="shared" si="50"/>
        <v>21850</v>
      </c>
    </row>
    <row r="214" spans="1:22" x14ac:dyDescent="0.2">
      <c r="A214" s="3" t="s">
        <v>440</v>
      </c>
      <c r="B214" s="225">
        <v>155</v>
      </c>
      <c r="C214" s="37"/>
      <c r="D214" s="10" t="s">
        <v>242</v>
      </c>
      <c r="E214" s="10"/>
      <c r="F214" s="19" t="s">
        <v>243</v>
      </c>
      <c r="G214" s="159" t="s">
        <v>142</v>
      </c>
      <c r="H214" s="363">
        <f>+'Yr 1 Operating Statement of Act'!G216</f>
        <v>0</v>
      </c>
      <c r="I214" s="364"/>
      <c r="J214" s="364"/>
      <c r="K214" s="364"/>
      <c r="L214" s="364"/>
      <c r="M214" s="364"/>
      <c r="N214" s="364"/>
      <c r="O214" s="364"/>
      <c r="P214" s="364"/>
      <c r="Q214" s="364"/>
      <c r="R214" s="364"/>
      <c r="S214" s="365"/>
      <c r="T214" s="365">
        <f t="shared" si="49"/>
        <v>0</v>
      </c>
      <c r="U214" s="365"/>
      <c r="V214" s="365">
        <f t="shared" si="50"/>
        <v>0</v>
      </c>
    </row>
    <row r="215" spans="1:22" x14ac:dyDescent="0.2">
      <c r="A215" s="3" t="s">
        <v>440</v>
      </c>
      <c r="B215" s="225">
        <v>156</v>
      </c>
      <c r="C215" s="37"/>
      <c r="D215" s="10" t="s">
        <v>296</v>
      </c>
      <c r="E215" s="10"/>
      <c r="F215" s="19" t="s">
        <v>116</v>
      </c>
      <c r="G215" s="159" t="s">
        <v>142</v>
      </c>
      <c r="H215" s="363">
        <f>+'Yr 1 Operating Statement of Act'!$G217/12</f>
        <v>175</v>
      </c>
      <c r="I215" s="364">
        <f>+'Yr 1 Operating Statement of Act'!$G217/12</f>
        <v>175</v>
      </c>
      <c r="J215" s="364">
        <f>+'Yr 1 Operating Statement of Act'!$G217/12</f>
        <v>175</v>
      </c>
      <c r="K215" s="364">
        <f>+'Yr 1 Operating Statement of Act'!$G217/12</f>
        <v>175</v>
      </c>
      <c r="L215" s="364">
        <f>+'Yr 1 Operating Statement of Act'!$G217/12</f>
        <v>175</v>
      </c>
      <c r="M215" s="364">
        <f>+'Yr 1 Operating Statement of Act'!$G217/12</f>
        <v>175</v>
      </c>
      <c r="N215" s="364">
        <f>+'Yr 1 Operating Statement of Act'!$G217/12</f>
        <v>175</v>
      </c>
      <c r="O215" s="364">
        <f>+'Yr 1 Operating Statement of Act'!$G217/12</f>
        <v>175</v>
      </c>
      <c r="P215" s="364">
        <f>+'Yr 1 Operating Statement of Act'!$G217/12</f>
        <v>175</v>
      </c>
      <c r="Q215" s="364">
        <f>+'Yr 1 Operating Statement of Act'!$G217/12</f>
        <v>175</v>
      </c>
      <c r="R215" s="364">
        <f>+'Yr 1 Operating Statement of Act'!$G217/12</f>
        <v>175</v>
      </c>
      <c r="S215" s="365">
        <f>+'Yr 1 Operating Statement of Act'!$G217/12</f>
        <v>175</v>
      </c>
      <c r="T215" s="365">
        <f t="shared" si="49"/>
        <v>2100</v>
      </c>
      <c r="U215" s="365"/>
      <c r="V215" s="365">
        <f t="shared" si="50"/>
        <v>2100</v>
      </c>
    </row>
    <row r="216" spans="1:22" x14ac:dyDescent="0.2">
      <c r="A216" s="3" t="s">
        <v>440</v>
      </c>
      <c r="B216" s="225">
        <v>157</v>
      </c>
      <c r="C216" s="37"/>
      <c r="D216" s="10" t="s">
        <v>95</v>
      </c>
      <c r="E216" s="10"/>
      <c r="F216" s="19" t="s">
        <v>96</v>
      </c>
      <c r="G216" s="159" t="s">
        <v>142</v>
      </c>
      <c r="H216" s="363">
        <f>'Yr 1 Operating Statement of Act'!$G218*0</f>
        <v>0</v>
      </c>
      <c r="I216" s="364">
        <f>'Yr 1 Operating Statement of Act'!$G218*0</f>
        <v>0</v>
      </c>
      <c r="J216" s="364">
        <f>'Yr 1 Operating Statement of Act'!$G218*0</f>
        <v>0</v>
      </c>
      <c r="K216" s="364">
        <f>'Yr 1 Operating Statement of Act'!$G218*0</f>
        <v>0</v>
      </c>
      <c r="L216" s="364">
        <f>'Yr 1 Operating Statement of Act'!$G218*0</f>
        <v>0</v>
      </c>
      <c r="M216" s="364">
        <f>'Yr 1 Operating Statement of Act'!$G218*0</f>
        <v>0</v>
      </c>
      <c r="N216" s="364">
        <f>'Yr 1 Operating Statement of Act'!$G218*0</f>
        <v>0</v>
      </c>
      <c r="O216" s="364">
        <f>'Yr 1 Operating Statement of Act'!$G218*0</f>
        <v>0</v>
      </c>
      <c r="P216" s="364">
        <f>'Yr 1 Operating Statement of Act'!$G218*0</f>
        <v>0</v>
      </c>
      <c r="Q216" s="364">
        <f>'Yr 1 Operating Statement of Act'!$G218*0</f>
        <v>0</v>
      </c>
      <c r="R216" s="364">
        <f>'Yr 1 Operating Statement of Act'!$G218*0</f>
        <v>0</v>
      </c>
      <c r="S216" s="365">
        <f>'Yr 1 Operating Statement of Act'!$G218*0</f>
        <v>0</v>
      </c>
      <c r="T216" s="365">
        <f t="shared" si="49"/>
        <v>0</v>
      </c>
      <c r="U216" s="365">
        <f>'Yr 1 Operating Statement of Act'!$G218*1</f>
        <v>28617.965</v>
      </c>
      <c r="V216" s="365">
        <f t="shared" si="50"/>
        <v>28617.965</v>
      </c>
    </row>
    <row r="217" spans="1:22" x14ac:dyDescent="0.2">
      <c r="A217" s="3" t="s">
        <v>440</v>
      </c>
      <c r="B217" s="225">
        <v>158</v>
      </c>
      <c r="C217" s="37"/>
      <c r="D217" s="10" t="s">
        <v>295</v>
      </c>
      <c r="E217" s="10"/>
      <c r="F217" s="19" t="s">
        <v>97</v>
      </c>
      <c r="G217" s="159" t="s">
        <v>11</v>
      </c>
      <c r="H217" s="363">
        <f>+'Yr 1 Operating Statement of Act'!$G219/12</f>
        <v>2394.4978032781446</v>
      </c>
      <c r="I217" s="364">
        <f>+'Yr 1 Operating Statement of Act'!$G219/12</f>
        <v>2394.4978032781446</v>
      </c>
      <c r="J217" s="364">
        <f>+'Yr 1 Operating Statement of Act'!$G219/12</f>
        <v>2394.4978032781446</v>
      </c>
      <c r="K217" s="364">
        <f>+'Yr 1 Operating Statement of Act'!$G219/12</f>
        <v>2394.4978032781446</v>
      </c>
      <c r="L217" s="364">
        <f>+'Yr 1 Operating Statement of Act'!$G219/12</f>
        <v>2394.4978032781446</v>
      </c>
      <c r="M217" s="364">
        <f>+'Yr 1 Operating Statement of Act'!$G219/12</f>
        <v>2394.4978032781446</v>
      </c>
      <c r="N217" s="364">
        <f>+'Yr 1 Operating Statement of Act'!$G219/12</f>
        <v>2394.4978032781446</v>
      </c>
      <c r="O217" s="364">
        <f>+'Yr 1 Operating Statement of Act'!$G219/12</f>
        <v>2394.4978032781446</v>
      </c>
      <c r="P217" s="364">
        <f>+'Yr 1 Operating Statement of Act'!$G219/12</f>
        <v>2394.4978032781446</v>
      </c>
      <c r="Q217" s="364">
        <f>+'Yr 1 Operating Statement of Act'!$G219/12</f>
        <v>2394.4978032781446</v>
      </c>
      <c r="R217" s="364">
        <f>+'Yr 1 Operating Statement of Act'!$G219/12</f>
        <v>2394.4978032781446</v>
      </c>
      <c r="S217" s="365">
        <f>+'Yr 1 Operating Statement of Act'!$G219/12</f>
        <v>2394.4978032781446</v>
      </c>
      <c r="T217" s="365">
        <f t="shared" si="49"/>
        <v>28733.973639337728</v>
      </c>
      <c r="U217" s="365"/>
      <c r="V217" s="365">
        <f t="shared" si="50"/>
        <v>28733.973639337728</v>
      </c>
    </row>
    <row r="218" spans="1:22" x14ac:dyDescent="0.2">
      <c r="A218" s="3" t="s">
        <v>440</v>
      </c>
      <c r="B218" s="225">
        <v>159</v>
      </c>
      <c r="C218" s="37"/>
      <c r="D218" s="10" t="s">
        <v>98</v>
      </c>
      <c r="E218" s="10"/>
      <c r="F218" s="19" t="s">
        <v>99</v>
      </c>
      <c r="G218" s="159" t="s">
        <v>11</v>
      </c>
      <c r="H218" s="363">
        <f>+'Yr 1 Operating Statement of Act'!$G220/12</f>
        <v>2097.6666666666665</v>
      </c>
      <c r="I218" s="364">
        <f>+'Yr 1 Operating Statement of Act'!$G220/12</f>
        <v>2097.6666666666665</v>
      </c>
      <c r="J218" s="364">
        <f>+'Yr 1 Operating Statement of Act'!$G220/12</f>
        <v>2097.6666666666665</v>
      </c>
      <c r="K218" s="364">
        <f>+'Yr 1 Operating Statement of Act'!$G220/12</f>
        <v>2097.6666666666665</v>
      </c>
      <c r="L218" s="364">
        <f>+'Yr 1 Operating Statement of Act'!$G220/12</f>
        <v>2097.6666666666665</v>
      </c>
      <c r="M218" s="364">
        <f>+'Yr 1 Operating Statement of Act'!$G220/12</f>
        <v>2097.6666666666665</v>
      </c>
      <c r="N218" s="364">
        <f>+'Yr 1 Operating Statement of Act'!$G220/12</f>
        <v>2097.6666666666665</v>
      </c>
      <c r="O218" s="364">
        <f>+'Yr 1 Operating Statement of Act'!$G220/12</f>
        <v>2097.6666666666665</v>
      </c>
      <c r="P218" s="364">
        <f>+'Yr 1 Operating Statement of Act'!$G220/12</f>
        <v>2097.6666666666665</v>
      </c>
      <c r="Q218" s="364">
        <f>+'Yr 1 Operating Statement of Act'!$G220/12</f>
        <v>2097.6666666666665</v>
      </c>
      <c r="R218" s="364">
        <f>+'Yr 1 Operating Statement of Act'!$G220/12</f>
        <v>2097.6666666666665</v>
      </c>
      <c r="S218" s="365">
        <f>+'Yr 1 Operating Statement of Act'!$G220/12</f>
        <v>2097.6666666666665</v>
      </c>
      <c r="T218" s="365">
        <f t="shared" si="49"/>
        <v>25172.000000000004</v>
      </c>
      <c r="U218" s="365"/>
      <c r="V218" s="365">
        <f t="shared" si="50"/>
        <v>25172.000000000004</v>
      </c>
    </row>
    <row r="219" spans="1:22" x14ac:dyDescent="0.2">
      <c r="A219" s="3" t="s">
        <v>440</v>
      </c>
      <c r="B219" s="225">
        <v>160</v>
      </c>
      <c r="C219" s="37"/>
      <c r="D219" s="10" t="s">
        <v>100</v>
      </c>
      <c r="E219" s="10"/>
      <c r="F219" s="19" t="s">
        <v>101</v>
      </c>
      <c r="G219" s="159" t="s">
        <v>11</v>
      </c>
      <c r="H219" s="363">
        <f>+'Yr 1 Operating Statement of Act'!$G221/12</f>
        <v>490.58333333333331</v>
      </c>
      <c r="I219" s="364">
        <f>+'Yr 1 Operating Statement of Act'!$G221/12</f>
        <v>490.58333333333331</v>
      </c>
      <c r="J219" s="364">
        <f>+'Yr 1 Operating Statement of Act'!$G221/12</f>
        <v>490.58333333333331</v>
      </c>
      <c r="K219" s="364">
        <f>+'Yr 1 Operating Statement of Act'!$G221/12</f>
        <v>490.58333333333331</v>
      </c>
      <c r="L219" s="364">
        <f>+'Yr 1 Operating Statement of Act'!$G221/12</f>
        <v>490.58333333333331</v>
      </c>
      <c r="M219" s="364">
        <f>+'Yr 1 Operating Statement of Act'!$G221/12</f>
        <v>490.58333333333331</v>
      </c>
      <c r="N219" s="364">
        <f>+'Yr 1 Operating Statement of Act'!$G221/12</f>
        <v>490.58333333333331</v>
      </c>
      <c r="O219" s="364">
        <f>+'Yr 1 Operating Statement of Act'!$G221/12</f>
        <v>490.58333333333331</v>
      </c>
      <c r="P219" s="364">
        <f>+'Yr 1 Operating Statement of Act'!$G221/12</f>
        <v>490.58333333333331</v>
      </c>
      <c r="Q219" s="364">
        <f>+'Yr 1 Operating Statement of Act'!$G221/12</f>
        <v>490.58333333333331</v>
      </c>
      <c r="R219" s="364">
        <f>+'Yr 1 Operating Statement of Act'!$G221/12</f>
        <v>490.58333333333331</v>
      </c>
      <c r="S219" s="365">
        <f>+'Yr 1 Operating Statement of Act'!$G221/12</f>
        <v>490.58333333333331</v>
      </c>
      <c r="T219" s="365">
        <f t="shared" si="49"/>
        <v>5886.9999999999991</v>
      </c>
      <c r="U219" s="365"/>
      <c r="V219" s="365">
        <f t="shared" si="50"/>
        <v>5886.9999999999991</v>
      </c>
    </row>
    <row r="220" spans="1:22" x14ac:dyDescent="0.2">
      <c r="A220" s="3" t="s">
        <v>440</v>
      </c>
      <c r="B220" s="225">
        <v>161</v>
      </c>
      <c r="C220" s="37"/>
      <c r="D220" s="10" t="s">
        <v>219</v>
      </c>
      <c r="E220" s="10"/>
      <c r="F220" s="19" t="s">
        <v>220</v>
      </c>
      <c r="G220" s="159" t="s">
        <v>11</v>
      </c>
      <c r="H220" s="363">
        <f>+'Yr 1 Operating Statement of Act'!$G222/12</f>
        <v>1087.034104117791</v>
      </c>
      <c r="I220" s="364">
        <f>+'Yr 1 Operating Statement of Act'!$G222/12</f>
        <v>1087.034104117791</v>
      </c>
      <c r="J220" s="364">
        <f>+'Yr 1 Operating Statement of Act'!$G222/12</f>
        <v>1087.034104117791</v>
      </c>
      <c r="K220" s="364">
        <f>+'Yr 1 Operating Statement of Act'!$G222/12</f>
        <v>1087.034104117791</v>
      </c>
      <c r="L220" s="364">
        <f>+'Yr 1 Operating Statement of Act'!$G222/12</f>
        <v>1087.034104117791</v>
      </c>
      <c r="M220" s="364">
        <f>+'Yr 1 Operating Statement of Act'!$G222/12</f>
        <v>1087.034104117791</v>
      </c>
      <c r="N220" s="364">
        <f>+'Yr 1 Operating Statement of Act'!$G222/12</f>
        <v>1087.034104117791</v>
      </c>
      <c r="O220" s="364">
        <f>+'Yr 1 Operating Statement of Act'!$G222/12</f>
        <v>1087.034104117791</v>
      </c>
      <c r="P220" s="364">
        <f>+'Yr 1 Operating Statement of Act'!$G222/12</f>
        <v>1087.034104117791</v>
      </c>
      <c r="Q220" s="364">
        <f>+'Yr 1 Operating Statement of Act'!$G222/12</f>
        <v>1087.034104117791</v>
      </c>
      <c r="R220" s="364">
        <f>+'Yr 1 Operating Statement of Act'!$G222/12</f>
        <v>1087.034104117791</v>
      </c>
      <c r="S220" s="365">
        <f>+'Yr 1 Operating Statement of Act'!$G222/12</f>
        <v>1087.034104117791</v>
      </c>
      <c r="T220" s="365">
        <f t="shared" si="49"/>
        <v>13044.409249413491</v>
      </c>
      <c r="U220" s="365"/>
      <c r="V220" s="365">
        <f t="shared" si="50"/>
        <v>13044.409249413491</v>
      </c>
    </row>
    <row r="221" spans="1:22" x14ac:dyDescent="0.2">
      <c r="A221" s="3" t="s">
        <v>440</v>
      </c>
      <c r="B221" s="225">
        <v>162</v>
      </c>
      <c r="C221" s="37"/>
      <c r="D221" s="10" t="s">
        <v>102</v>
      </c>
      <c r="E221" s="10"/>
      <c r="F221" s="19" t="s">
        <v>103</v>
      </c>
      <c r="G221" s="159" t="s">
        <v>11</v>
      </c>
      <c r="H221" s="363">
        <f>+'Yr 1 Operating Statement of Act'!$G223/12</f>
        <v>33.833333333333336</v>
      </c>
      <c r="I221" s="364">
        <f>+'Yr 1 Operating Statement of Act'!$G223/12</f>
        <v>33.833333333333336</v>
      </c>
      <c r="J221" s="364">
        <f>+'Yr 1 Operating Statement of Act'!$G223/12</f>
        <v>33.833333333333336</v>
      </c>
      <c r="K221" s="364">
        <f>+'Yr 1 Operating Statement of Act'!$G223/12</f>
        <v>33.833333333333336</v>
      </c>
      <c r="L221" s="364">
        <f>+'Yr 1 Operating Statement of Act'!$G223/12</f>
        <v>33.833333333333336</v>
      </c>
      <c r="M221" s="364">
        <f>+'Yr 1 Operating Statement of Act'!$G223/12</f>
        <v>33.833333333333336</v>
      </c>
      <c r="N221" s="364">
        <f>+'Yr 1 Operating Statement of Act'!$G223/12</f>
        <v>33.833333333333336</v>
      </c>
      <c r="O221" s="364">
        <f>+'Yr 1 Operating Statement of Act'!$G223/12</f>
        <v>33.833333333333336</v>
      </c>
      <c r="P221" s="364">
        <f>+'Yr 1 Operating Statement of Act'!$G223/12</f>
        <v>33.833333333333336</v>
      </c>
      <c r="Q221" s="364">
        <f>+'Yr 1 Operating Statement of Act'!$G223/12</f>
        <v>33.833333333333336</v>
      </c>
      <c r="R221" s="364">
        <f>+'Yr 1 Operating Statement of Act'!$G223/12</f>
        <v>33.833333333333336</v>
      </c>
      <c r="S221" s="365">
        <f>+'Yr 1 Operating Statement of Act'!$G223/12</f>
        <v>33.833333333333336</v>
      </c>
      <c r="T221" s="365">
        <f t="shared" si="49"/>
        <v>405.99999999999994</v>
      </c>
      <c r="U221" s="365"/>
      <c r="V221" s="365">
        <f t="shared" si="50"/>
        <v>405.99999999999994</v>
      </c>
    </row>
    <row r="222" spans="1:22" x14ac:dyDescent="0.2">
      <c r="A222" s="3" t="s">
        <v>440</v>
      </c>
      <c r="B222" s="225">
        <v>163</v>
      </c>
      <c r="C222" s="37"/>
      <c r="D222" s="10" t="s">
        <v>104</v>
      </c>
      <c r="E222" s="10"/>
      <c r="F222" s="19" t="s">
        <v>105</v>
      </c>
      <c r="G222" s="159" t="s">
        <v>11</v>
      </c>
      <c r="H222" s="363">
        <f>+'Yr 1 Operating Statement of Act'!G224</f>
        <v>0</v>
      </c>
      <c r="I222" s="364"/>
      <c r="J222" s="364"/>
      <c r="K222" s="364"/>
      <c r="L222" s="364"/>
      <c r="M222" s="364"/>
      <c r="N222" s="364"/>
      <c r="O222" s="364"/>
      <c r="P222" s="364"/>
      <c r="Q222" s="364"/>
      <c r="R222" s="364"/>
      <c r="S222" s="365"/>
      <c r="T222" s="365">
        <f t="shared" si="49"/>
        <v>0</v>
      </c>
      <c r="U222" s="365"/>
      <c r="V222" s="365">
        <f t="shared" si="50"/>
        <v>0</v>
      </c>
    </row>
    <row r="223" spans="1:22" x14ac:dyDescent="0.2">
      <c r="A223" s="3" t="s">
        <v>440</v>
      </c>
      <c r="B223" s="225">
        <v>164</v>
      </c>
      <c r="C223" s="37"/>
      <c r="D223" s="86" t="s">
        <v>283</v>
      </c>
      <c r="E223" s="10"/>
      <c r="F223" s="19"/>
      <c r="G223" s="159"/>
      <c r="H223" s="363"/>
      <c r="I223" s="364"/>
      <c r="J223" s="364"/>
      <c r="K223" s="364"/>
      <c r="L223" s="364"/>
      <c r="M223" s="364"/>
      <c r="N223" s="364"/>
      <c r="O223" s="364"/>
      <c r="P223" s="364"/>
      <c r="Q223" s="364"/>
      <c r="R223" s="364"/>
      <c r="S223" s="365"/>
      <c r="T223" s="365">
        <f t="shared" si="49"/>
        <v>0</v>
      </c>
      <c r="U223" s="365"/>
      <c r="V223" s="365">
        <f t="shared" si="50"/>
        <v>0</v>
      </c>
    </row>
    <row r="224" spans="1:22" x14ac:dyDescent="0.2">
      <c r="A224" s="3" t="s">
        <v>440</v>
      </c>
      <c r="B224" s="225">
        <v>165</v>
      </c>
      <c r="C224" s="37"/>
      <c r="D224" s="86"/>
      <c r="E224" s="10"/>
      <c r="F224" s="19"/>
      <c r="G224" s="159"/>
      <c r="H224" s="363"/>
      <c r="I224" s="364"/>
      <c r="J224" s="364"/>
      <c r="K224" s="364"/>
      <c r="L224" s="364"/>
      <c r="M224" s="364"/>
      <c r="N224" s="364"/>
      <c r="O224" s="364"/>
      <c r="P224" s="364"/>
      <c r="Q224" s="364"/>
      <c r="R224" s="364"/>
      <c r="S224" s="365"/>
      <c r="T224" s="365">
        <f t="shared" si="49"/>
        <v>0</v>
      </c>
      <c r="U224" s="365"/>
      <c r="V224" s="365">
        <f t="shared" si="50"/>
        <v>0</v>
      </c>
    </row>
    <row r="225" spans="1:22" x14ac:dyDescent="0.2">
      <c r="A225" s="3" t="s">
        <v>440</v>
      </c>
      <c r="B225" s="225">
        <v>166</v>
      </c>
      <c r="C225" s="84"/>
      <c r="E225" s="14"/>
      <c r="F225" s="15"/>
      <c r="G225" s="167"/>
      <c r="H225" s="380"/>
      <c r="I225" s="381"/>
      <c r="J225" s="381"/>
      <c r="K225" s="381"/>
      <c r="L225" s="381"/>
      <c r="M225" s="381"/>
      <c r="N225" s="381"/>
      <c r="O225" s="381"/>
      <c r="P225" s="381"/>
      <c r="Q225" s="381"/>
      <c r="R225" s="381"/>
      <c r="S225" s="382"/>
      <c r="T225" s="365">
        <f t="shared" si="49"/>
        <v>0</v>
      </c>
      <c r="U225" s="365"/>
      <c r="V225" s="365">
        <f t="shared" si="50"/>
        <v>0</v>
      </c>
    </row>
    <row r="226" spans="1:22" ht="15" x14ac:dyDescent="0.25">
      <c r="A226" s="3" t="s">
        <v>440</v>
      </c>
      <c r="B226" s="226">
        <v>167</v>
      </c>
      <c r="C226" s="88" t="s">
        <v>145</v>
      </c>
      <c r="D226" s="52"/>
      <c r="E226" s="52"/>
      <c r="F226" s="50"/>
      <c r="G226" s="163"/>
      <c r="H226" s="372">
        <f t="shared" ref="H226:U226" si="51">SUM(H205:H225)</f>
        <v>45181.948574062604</v>
      </c>
      <c r="I226" s="373">
        <f t="shared" si="51"/>
        <v>44089.448574062604</v>
      </c>
      <c r="J226" s="373">
        <f t="shared" si="51"/>
        <v>41904.448574062604</v>
      </c>
      <c r="K226" s="373">
        <f t="shared" si="51"/>
        <v>41904.448574062604</v>
      </c>
      <c r="L226" s="373">
        <f t="shared" si="51"/>
        <v>41904.448574062604</v>
      </c>
      <c r="M226" s="373">
        <f t="shared" si="51"/>
        <v>41904.448574062604</v>
      </c>
      <c r="N226" s="373">
        <f t="shared" si="51"/>
        <v>41904.448574062604</v>
      </c>
      <c r="O226" s="373">
        <f t="shared" si="51"/>
        <v>41904.448574062604</v>
      </c>
      <c r="P226" s="373">
        <f t="shared" si="51"/>
        <v>41904.448574062604</v>
      </c>
      <c r="Q226" s="373">
        <f t="shared" si="51"/>
        <v>41904.448574062604</v>
      </c>
      <c r="R226" s="373">
        <f t="shared" si="51"/>
        <v>41904.448574062604</v>
      </c>
      <c r="S226" s="374">
        <f t="shared" si="51"/>
        <v>42996.948574062604</v>
      </c>
      <c r="T226" s="374">
        <f t="shared" si="51"/>
        <v>509408.38288875122</v>
      </c>
      <c r="U226" s="374">
        <f t="shared" si="51"/>
        <v>30802.965</v>
      </c>
      <c r="V226" s="374">
        <f t="shared" si="50"/>
        <v>540211.34788875119</v>
      </c>
    </row>
    <row r="227" spans="1:22" ht="6.75" customHeight="1" x14ac:dyDescent="0.2">
      <c r="A227" s="3" t="s">
        <v>440</v>
      </c>
      <c r="B227" s="230"/>
      <c r="C227" s="36"/>
      <c r="D227" s="13"/>
      <c r="E227" s="13"/>
      <c r="F227" s="17"/>
      <c r="G227" s="171"/>
      <c r="H227" s="375"/>
      <c r="I227" s="376"/>
      <c r="J227" s="376"/>
      <c r="K227" s="376"/>
      <c r="L227" s="376"/>
      <c r="M227" s="376"/>
      <c r="N227" s="376"/>
      <c r="O227" s="376"/>
      <c r="P227" s="376"/>
      <c r="Q227" s="376"/>
      <c r="R227" s="376"/>
      <c r="S227" s="377"/>
      <c r="T227" s="377"/>
      <c r="U227" s="377"/>
      <c r="V227" s="377"/>
    </row>
    <row r="228" spans="1:22" s="5" customFormat="1" ht="15" x14ac:dyDescent="0.25">
      <c r="A228" s="3" t="s">
        <v>440</v>
      </c>
      <c r="B228" s="225"/>
      <c r="C228" s="89" t="s">
        <v>27</v>
      </c>
      <c r="D228" s="54"/>
      <c r="E228" s="54"/>
      <c r="F228" s="64"/>
      <c r="G228" s="168"/>
      <c r="H228" s="383"/>
      <c r="I228" s="384"/>
      <c r="J228" s="384"/>
      <c r="K228" s="384"/>
      <c r="L228" s="384"/>
      <c r="M228" s="384"/>
      <c r="N228" s="384"/>
      <c r="O228" s="384"/>
      <c r="P228" s="384"/>
      <c r="Q228" s="384"/>
      <c r="R228" s="384"/>
      <c r="S228" s="385"/>
      <c r="T228" s="385"/>
      <c r="U228" s="385"/>
      <c r="V228" s="379"/>
    </row>
    <row r="229" spans="1:22" x14ac:dyDescent="0.2">
      <c r="A229" s="3" t="s">
        <v>440</v>
      </c>
      <c r="B229" s="225"/>
      <c r="C229" s="37">
        <v>90</v>
      </c>
      <c r="D229" s="10" t="s">
        <v>146</v>
      </c>
      <c r="E229" s="10"/>
      <c r="F229" s="68"/>
      <c r="G229" s="172"/>
      <c r="H229" s="386"/>
      <c r="I229" s="387"/>
      <c r="J229" s="387"/>
      <c r="K229" s="387"/>
      <c r="L229" s="387"/>
      <c r="M229" s="387"/>
      <c r="N229" s="387"/>
      <c r="O229" s="387"/>
      <c r="P229" s="387"/>
      <c r="Q229" s="387"/>
      <c r="R229" s="387"/>
      <c r="S229" s="388"/>
      <c r="T229" s="388"/>
      <c r="U229" s="388"/>
      <c r="V229" s="379"/>
    </row>
    <row r="230" spans="1:22" x14ac:dyDescent="0.2">
      <c r="A230" s="3" t="s">
        <v>440</v>
      </c>
      <c r="B230" s="225"/>
      <c r="C230" s="37"/>
      <c r="D230" s="10" t="s">
        <v>147</v>
      </c>
      <c r="E230" s="10"/>
      <c r="F230" s="72"/>
      <c r="G230" s="157"/>
      <c r="H230" s="389"/>
      <c r="I230" s="371"/>
      <c r="J230" s="371"/>
      <c r="K230" s="371"/>
      <c r="L230" s="371"/>
      <c r="M230" s="371"/>
      <c r="N230" s="371"/>
      <c r="O230" s="371"/>
      <c r="P230" s="371"/>
      <c r="Q230" s="371"/>
      <c r="R230" s="371"/>
      <c r="S230" s="390"/>
      <c r="T230" s="390"/>
      <c r="U230" s="390"/>
      <c r="V230" s="379"/>
    </row>
    <row r="231" spans="1:22" x14ac:dyDescent="0.2">
      <c r="A231" s="3" t="s">
        <v>440</v>
      </c>
      <c r="B231" s="225">
        <v>168</v>
      </c>
      <c r="C231" s="37"/>
      <c r="D231" s="10" t="s">
        <v>182</v>
      </c>
      <c r="E231" s="10" t="s">
        <v>76</v>
      </c>
      <c r="F231" s="19" t="s">
        <v>222</v>
      </c>
      <c r="G231" s="159" t="s">
        <v>244</v>
      </c>
      <c r="H231" s="363">
        <f>+'Yr 1 Operating Statement of Act'!G233</f>
        <v>0</v>
      </c>
      <c r="I231" s="364"/>
      <c r="J231" s="364"/>
      <c r="K231" s="364"/>
      <c r="L231" s="364"/>
      <c r="M231" s="364"/>
      <c r="N231" s="364"/>
      <c r="O231" s="364"/>
      <c r="P231" s="364"/>
      <c r="Q231" s="364"/>
      <c r="R231" s="364"/>
      <c r="S231" s="365"/>
      <c r="T231" s="365">
        <f t="shared" ref="T231:T250" si="52">SUM(H231:S231)</f>
        <v>0</v>
      </c>
      <c r="U231" s="365"/>
      <c r="V231" s="365">
        <f t="shared" si="50"/>
        <v>0</v>
      </c>
    </row>
    <row r="232" spans="1:22" x14ac:dyDescent="0.2">
      <c r="A232" s="3" t="s">
        <v>440</v>
      </c>
      <c r="B232" s="225">
        <v>169</v>
      </c>
      <c r="C232" s="37"/>
      <c r="D232" s="10"/>
      <c r="E232" s="10" t="s">
        <v>83</v>
      </c>
      <c r="F232" s="19" t="s">
        <v>84</v>
      </c>
      <c r="G232" s="159" t="s">
        <v>148</v>
      </c>
      <c r="H232" s="363">
        <f>+'Yr 1 Operating Statement of Act'!$G234/12</f>
        <v>2220.766129032258</v>
      </c>
      <c r="I232" s="364">
        <f>+'Yr 1 Operating Statement of Act'!$G234/12</f>
        <v>2220.766129032258</v>
      </c>
      <c r="J232" s="364">
        <f>+'Yr 1 Operating Statement of Act'!$G234/12</f>
        <v>2220.766129032258</v>
      </c>
      <c r="K232" s="364">
        <f>+'Yr 1 Operating Statement of Act'!$G234/12</f>
        <v>2220.766129032258</v>
      </c>
      <c r="L232" s="364">
        <f>+'Yr 1 Operating Statement of Act'!$G234/12</f>
        <v>2220.766129032258</v>
      </c>
      <c r="M232" s="364">
        <f>+'Yr 1 Operating Statement of Act'!$G234/12</f>
        <v>2220.766129032258</v>
      </c>
      <c r="N232" s="364">
        <f>+'Yr 1 Operating Statement of Act'!$G234/12</f>
        <v>2220.766129032258</v>
      </c>
      <c r="O232" s="364">
        <f>+'Yr 1 Operating Statement of Act'!$G234/12</f>
        <v>2220.766129032258</v>
      </c>
      <c r="P232" s="364">
        <f>+'Yr 1 Operating Statement of Act'!$G234/12</f>
        <v>2220.766129032258</v>
      </c>
      <c r="Q232" s="364">
        <f>+'Yr 1 Operating Statement of Act'!$G234/12</f>
        <v>2220.766129032258</v>
      </c>
      <c r="R232" s="364">
        <f>+'Yr 1 Operating Statement of Act'!$G234/12</f>
        <v>2220.766129032258</v>
      </c>
      <c r="S232" s="365">
        <f>+'Yr 1 Operating Statement of Act'!$G234/12</f>
        <v>2220.766129032258</v>
      </c>
      <c r="T232" s="365">
        <f t="shared" si="52"/>
        <v>26649.193548387095</v>
      </c>
      <c r="U232" s="365"/>
      <c r="V232" s="365">
        <f t="shared" si="50"/>
        <v>26649.193548387095</v>
      </c>
    </row>
    <row r="233" spans="1:22" x14ac:dyDescent="0.2">
      <c r="A233" s="3" t="s">
        <v>440</v>
      </c>
      <c r="B233" s="225">
        <v>170</v>
      </c>
      <c r="C233" s="37"/>
      <c r="D233" s="10"/>
      <c r="E233" s="10" t="s">
        <v>297</v>
      </c>
      <c r="F233" s="19" t="s">
        <v>149</v>
      </c>
      <c r="G233" s="159" t="s">
        <v>148</v>
      </c>
      <c r="H233" s="363">
        <f>+'Yr 1 Operating Statement of Act'!G235</f>
        <v>0</v>
      </c>
      <c r="I233" s="364"/>
      <c r="J233" s="364"/>
      <c r="K233" s="364"/>
      <c r="L233" s="364"/>
      <c r="M233" s="364"/>
      <c r="N233" s="364"/>
      <c r="O233" s="364"/>
      <c r="P233" s="364"/>
      <c r="Q233" s="364"/>
      <c r="R233" s="364"/>
      <c r="S233" s="365"/>
      <c r="T233" s="365">
        <f t="shared" si="52"/>
        <v>0</v>
      </c>
      <c r="U233" s="365"/>
      <c r="V233" s="365">
        <f t="shared" si="50"/>
        <v>0</v>
      </c>
    </row>
    <row r="234" spans="1:22" x14ac:dyDescent="0.2">
      <c r="A234" s="3" t="s">
        <v>440</v>
      </c>
      <c r="B234" s="225">
        <v>171</v>
      </c>
      <c r="C234" s="37"/>
      <c r="D234" s="10"/>
      <c r="E234" s="10" t="s">
        <v>85</v>
      </c>
      <c r="F234" s="19" t="s">
        <v>86</v>
      </c>
      <c r="G234" s="159" t="s">
        <v>148</v>
      </c>
      <c r="H234" s="363">
        <f>+'Yr 1 Operating Statement of Act'!G236</f>
        <v>0</v>
      </c>
      <c r="I234" s="364"/>
      <c r="J234" s="364"/>
      <c r="K234" s="364"/>
      <c r="L234" s="364"/>
      <c r="M234" s="364"/>
      <c r="N234" s="364"/>
      <c r="O234" s="364"/>
      <c r="P234" s="364"/>
      <c r="Q234" s="364"/>
      <c r="R234" s="364"/>
      <c r="S234" s="365"/>
      <c r="T234" s="365">
        <f t="shared" si="52"/>
        <v>0</v>
      </c>
      <c r="U234" s="365"/>
      <c r="V234" s="365">
        <f t="shared" si="50"/>
        <v>0</v>
      </c>
    </row>
    <row r="235" spans="1:22" x14ac:dyDescent="0.2">
      <c r="A235" s="3" t="s">
        <v>440</v>
      </c>
      <c r="B235" s="225">
        <v>172</v>
      </c>
      <c r="C235" s="37"/>
      <c r="D235" s="10"/>
      <c r="E235" s="10" t="s">
        <v>111</v>
      </c>
      <c r="F235" s="19" t="s">
        <v>112</v>
      </c>
      <c r="G235" s="159" t="s">
        <v>148</v>
      </c>
      <c r="H235" s="363">
        <f>+'Yr 1 Operating Statement of Act'!G237</f>
        <v>0</v>
      </c>
      <c r="I235" s="364"/>
      <c r="J235" s="364"/>
      <c r="K235" s="364"/>
      <c r="L235" s="364"/>
      <c r="M235" s="364"/>
      <c r="N235" s="364"/>
      <c r="O235" s="364"/>
      <c r="P235" s="364"/>
      <c r="Q235" s="364"/>
      <c r="R235" s="364"/>
      <c r="S235" s="365"/>
      <c r="T235" s="365">
        <f t="shared" si="52"/>
        <v>0</v>
      </c>
      <c r="U235" s="365"/>
      <c r="V235" s="365">
        <f t="shared" si="50"/>
        <v>0</v>
      </c>
    </row>
    <row r="236" spans="1:22" x14ac:dyDescent="0.2">
      <c r="A236" s="3" t="s">
        <v>440</v>
      </c>
      <c r="B236" s="225">
        <v>173</v>
      </c>
      <c r="C236" s="37"/>
      <c r="D236" s="10"/>
      <c r="E236" s="10" t="s">
        <v>150</v>
      </c>
      <c r="F236" s="19" t="s">
        <v>144</v>
      </c>
      <c r="G236" s="159" t="s">
        <v>148</v>
      </c>
      <c r="H236" s="363">
        <f>+'Yr 1 Operating Statement of Act'!G238</f>
        <v>0</v>
      </c>
      <c r="I236" s="364"/>
      <c r="J236" s="364"/>
      <c r="K236" s="364"/>
      <c r="L236" s="364"/>
      <c r="M236" s="364"/>
      <c r="N236" s="364"/>
      <c r="O236" s="364"/>
      <c r="P236" s="364"/>
      <c r="Q236" s="364"/>
      <c r="R236" s="364"/>
      <c r="S236" s="365"/>
      <c r="T236" s="365">
        <f t="shared" si="52"/>
        <v>0</v>
      </c>
      <c r="U236" s="365"/>
      <c r="V236" s="365">
        <f t="shared" si="50"/>
        <v>0</v>
      </c>
    </row>
    <row r="237" spans="1:22" x14ac:dyDescent="0.2">
      <c r="A237" s="3" t="s">
        <v>440</v>
      </c>
      <c r="B237" s="225">
        <v>174</v>
      </c>
      <c r="C237" s="37"/>
      <c r="D237" s="10"/>
      <c r="E237" s="10" t="s">
        <v>131</v>
      </c>
      <c r="F237" s="19" t="s">
        <v>132</v>
      </c>
      <c r="G237" s="159" t="s">
        <v>148</v>
      </c>
      <c r="H237" s="363">
        <f>+'Yr 1 Operating Statement of Act'!G239</f>
        <v>0</v>
      </c>
      <c r="I237" s="364"/>
      <c r="J237" s="364"/>
      <c r="K237" s="364"/>
      <c r="L237" s="364"/>
      <c r="M237" s="364"/>
      <c r="N237" s="364"/>
      <c r="O237" s="364"/>
      <c r="P237" s="364"/>
      <c r="Q237" s="364"/>
      <c r="R237" s="364"/>
      <c r="S237" s="365"/>
      <c r="T237" s="365">
        <f t="shared" si="52"/>
        <v>0</v>
      </c>
      <c r="U237" s="365"/>
      <c r="V237" s="365">
        <f t="shared" si="50"/>
        <v>0</v>
      </c>
    </row>
    <row r="238" spans="1:22" x14ac:dyDescent="0.2">
      <c r="A238" s="3" t="s">
        <v>440</v>
      </c>
      <c r="B238" s="225">
        <v>175</v>
      </c>
      <c r="C238" s="37"/>
      <c r="D238" s="10"/>
      <c r="E238" s="10" t="s">
        <v>87</v>
      </c>
      <c r="F238" s="19" t="s">
        <v>88</v>
      </c>
      <c r="G238" s="159" t="s">
        <v>148</v>
      </c>
      <c r="H238" s="363">
        <f>+'Yr 1 Operating Statement of Act'!G240</f>
        <v>0</v>
      </c>
      <c r="I238" s="364"/>
      <c r="J238" s="364"/>
      <c r="K238" s="364"/>
      <c r="L238" s="364"/>
      <c r="M238" s="364"/>
      <c r="N238" s="364"/>
      <c r="O238" s="364"/>
      <c r="P238" s="364"/>
      <c r="Q238" s="364"/>
      <c r="R238" s="364"/>
      <c r="S238" s="365"/>
      <c r="T238" s="365">
        <f t="shared" si="52"/>
        <v>0</v>
      </c>
      <c r="U238" s="365"/>
      <c r="V238" s="365">
        <f t="shared" si="50"/>
        <v>0</v>
      </c>
    </row>
    <row r="239" spans="1:22" x14ac:dyDescent="0.2">
      <c r="A239" s="3" t="s">
        <v>440</v>
      </c>
      <c r="B239" s="225">
        <v>176</v>
      </c>
      <c r="C239" s="37"/>
      <c r="D239" s="10"/>
      <c r="E239" s="10" t="s">
        <v>110</v>
      </c>
      <c r="F239" s="19" t="s">
        <v>90</v>
      </c>
      <c r="G239" s="159" t="s">
        <v>148</v>
      </c>
      <c r="H239" s="363">
        <f>+'Yr 1 Operating Statement of Act'!G241</f>
        <v>0</v>
      </c>
      <c r="I239" s="364"/>
      <c r="J239" s="364"/>
      <c r="K239" s="364"/>
      <c r="L239" s="364"/>
      <c r="M239" s="364"/>
      <c r="N239" s="364"/>
      <c r="O239" s="364"/>
      <c r="P239" s="364"/>
      <c r="Q239" s="364"/>
      <c r="R239" s="364"/>
      <c r="S239" s="365"/>
      <c r="T239" s="365">
        <f t="shared" si="52"/>
        <v>0</v>
      </c>
      <c r="U239" s="365"/>
      <c r="V239" s="365">
        <f t="shared" si="50"/>
        <v>0</v>
      </c>
    </row>
    <row r="240" spans="1:22" x14ac:dyDescent="0.2">
      <c r="A240" s="3" t="s">
        <v>440</v>
      </c>
      <c r="B240" s="225">
        <v>177</v>
      </c>
      <c r="C240" s="37"/>
      <c r="D240" s="10"/>
      <c r="E240" s="10" t="s">
        <v>93</v>
      </c>
      <c r="F240" s="19" t="s">
        <v>94</v>
      </c>
      <c r="G240" s="159" t="s">
        <v>148</v>
      </c>
      <c r="H240" s="363">
        <f>+'Yr 1 Operating Statement of Act'!G242</f>
        <v>0</v>
      </c>
      <c r="I240" s="364"/>
      <c r="J240" s="364"/>
      <c r="K240" s="364"/>
      <c r="L240" s="364"/>
      <c r="M240" s="364"/>
      <c r="N240" s="364"/>
      <c r="O240" s="364"/>
      <c r="P240" s="364"/>
      <c r="Q240" s="364"/>
      <c r="R240" s="364"/>
      <c r="S240" s="365"/>
      <c r="T240" s="365">
        <f t="shared" si="52"/>
        <v>0</v>
      </c>
      <c r="U240" s="365"/>
      <c r="V240" s="365">
        <f t="shared" si="50"/>
        <v>0</v>
      </c>
    </row>
    <row r="241" spans="1:25" x14ac:dyDescent="0.2">
      <c r="A241" s="3" t="s">
        <v>440</v>
      </c>
      <c r="B241" s="225">
        <v>178</v>
      </c>
      <c r="C241" s="37"/>
      <c r="D241" s="10"/>
      <c r="E241" s="10" t="s">
        <v>151</v>
      </c>
      <c r="F241" s="19" t="s">
        <v>152</v>
      </c>
      <c r="G241" s="159" t="s">
        <v>153</v>
      </c>
      <c r="H241" s="363">
        <f>+'Yr 1 Operating Statement of Act'!G243</f>
        <v>0</v>
      </c>
      <c r="I241" s="364"/>
      <c r="J241" s="364"/>
      <c r="K241" s="364"/>
      <c r="L241" s="364"/>
      <c r="M241" s="364"/>
      <c r="N241" s="364"/>
      <c r="O241" s="364"/>
      <c r="P241" s="364"/>
      <c r="Q241" s="364"/>
      <c r="R241" s="364"/>
      <c r="S241" s="365"/>
      <c r="T241" s="365">
        <f t="shared" si="52"/>
        <v>0</v>
      </c>
      <c r="U241" s="365"/>
      <c r="V241" s="365">
        <f t="shared" si="50"/>
        <v>0</v>
      </c>
    </row>
    <row r="242" spans="1:25" x14ac:dyDescent="0.2">
      <c r="A242" s="3" t="s">
        <v>440</v>
      </c>
      <c r="B242" s="225">
        <v>179</v>
      </c>
      <c r="C242" s="37"/>
      <c r="D242" s="10"/>
      <c r="E242" s="10" t="s">
        <v>95</v>
      </c>
      <c r="F242" s="19" t="s">
        <v>96</v>
      </c>
      <c r="G242" s="159" t="s">
        <v>148</v>
      </c>
      <c r="H242" s="363">
        <f>+'Yr 1 Operating Statement of Act'!G244</f>
        <v>0</v>
      </c>
      <c r="I242" s="364"/>
      <c r="J242" s="364"/>
      <c r="K242" s="364"/>
      <c r="L242" s="364"/>
      <c r="M242" s="364"/>
      <c r="N242" s="364"/>
      <c r="O242" s="364"/>
      <c r="P242" s="364"/>
      <c r="Q242" s="364"/>
      <c r="R242" s="364"/>
      <c r="S242" s="365"/>
      <c r="T242" s="365">
        <f t="shared" si="52"/>
        <v>0</v>
      </c>
      <c r="U242" s="365"/>
      <c r="V242" s="365">
        <f t="shared" si="50"/>
        <v>0</v>
      </c>
    </row>
    <row r="243" spans="1:25" x14ac:dyDescent="0.2">
      <c r="A243" s="3" t="s">
        <v>440</v>
      </c>
      <c r="B243" s="225">
        <v>180</v>
      </c>
      <c r="C243" s="37"/>
      <c r="D243" s="10"/>
      <c r="E243" s="10" t="s">
        <v>295</v>
      </c>
      <c r="F243" s="19" t="s">
        <v>97</v>
      </c>
      <c r="G243" s="159" t="s">
        <v>244</v>
      </c>
      <c r="H243" s="363">
        <f>+'Yr 1 Operating Statement of Act'!G245</f>
        <v>0</v>
      </c>
      <c r="I243" s="364"/>
      <c r="J243" s="364"/>
      <c r="K243" s="364"/>
      <c r="L243" s="364"/>
      <c r="M243" s="364"/>
      <c r="N243" s="364"/>
      <c r="O243" s="364"/>
      <c r="P243" s="364"/>
      <c r="Q243" s="364"/>
      <c r="R243" s="364"/>
      <c r="S243" s="365"/>
      <c r="T243" s="365">
        <f t="shared" si="52"/>
        <v>0</v>
      </c>
      <c r="U243" s="365"/>
      <c r="V243" s="365">
        <f t="shared" si="50"/>
        <v>0</v>
      </c>
    </row>
    <row r="244" spans="1:25" x14ac:dyDescent="0.2">
      <c r="A244" s="3" t="s">
        <v>440</v>
      </c>
      <c r="B244" s="225">
        <v>181</v>
      </c>
      <c r="C244" s="37"/>
      <c r="D244" s="10"/>
      <c r="E244" s="10" t="s">
        <v>98</v>
      </c>
      <c r="F244" s="19" t="s">
        <v>99</v>
      </c>
      <c r="G244" s="159" t="s">
        <v>244</v>
      </c>
      <c r="H244" s="363">
        <f>+'Yr 1 Operating Statement of Act'!G246</f>
        <v>0</v>
      </c>
      <c r="I244" s="364"/>
      <c r="J244" s="364"/>
      <c r="K244" s="364"/>
      <c r="L244" s="364"/>
      <c r="M244" s="364"/>
      <c r="N244" s="364"/>
      <c r="O244" s="364"/>
      <c r="P244" s="364"/>
      <c r="Q244" s="364"/>
      <c r="R244" s="364"/>
      <c r="S244" s="365"/>
      <c r="T244" s="365">
        <f t="shared" si="52"/>
        <v>0</v>
      </c>
      <c r="U244" s="365"/>
      <c r="V244" s="365">
        <f t="shared" si="50"/>
        <v>0</v>
      </c>
    </row>
    <row r="245" spans="1:25" x14ac:dyDescent="0.2">
      <c r="A245" s="3" t="s">
        <v>440</v>
      </c>
      <c r="B245" s="225">
        <v>182</v>
      </c>
      <c r="C245" s="37"/>
      <c r="D245" s="10"/>
      <c r="E245" s="10" t="s">
        <v>100</v>
      </c>
      <c r="F245" s="19" t="s">
        <v>101</v>
      </c>
      <c r="G245" s="159" t="s">
        <v>244</v>
      </c>
      <c r="H245" s="363">
        <f>+'Yr 1 Operating Statement of Act'!G247</f>
        <v>0</v>
      </c>
      <c r="I245" s="364"/>
      <c r="J245" s="364"/>
      <c r="K245" s="364"/>
      <c r="L245" s="364"/>
      <c r="M245" s="364"/>
      <c r="N245" s="364"/>
      <c r="O245" s="364"/>
      <c r="P245" s="364"/>
      <c r="Q245" s="364"/>
      <c r="R245" s="364"/>
      <c r="S245" s="365"/>
      <c r="T245" s="365">
        <f t="shared" si="52"/>
        <v>0</v>
      </c>
      <c r="U245" s="365"/>
      <c r="V245" s="365">
        <f t="shared" si="50"/>
        <v>0</v>
      </c>
    </row>
    <row r="246" spans="1:25" x14ac:dyDescent="0.2">
      <c r="A246" s="3" t="s">
        <v>440</v>
      </c>
      <c r="B246" s="225">
        <v>183</v>
      </c>
      <c r="C246" s="37"/>
      <c r="D246" s="10"/>
      <c r="E246" s="10" t="s">
        <v>219</v>
      </c>
      <c r="F246" s="19" t="s">
        <v>220</v>
      </c>
      <c r="G246" s="159" t="s">
        <v>244</v>
      </c>
      <c r="H246" s="363">
        <f>+'Yr 1 Operating Statement of Act'!G248</f>
        <v>0</v>
      </c>
      <c r="I246" s="364"/>
      <c r="J246" s="364"/>
      <c r="K246" s="364"/>
      <c r="L246" s="364"/>
      <c r="M246" s="364"/>
      <c r="N246" s="364"/>
      <c r="O246" s="364"/>
      <c r="P246" s="364"/>
      <c r="Q246" s="364"/>
      <c r="R246" s="364"/>
      <c r="S246" s="365"/>
      <c r="T246" s="365">
        <f t="shared" si="52"/>
        <v>0</v>
      </c>
      <c r="U246" s="365"/>
      <c r="V246" s="365">
        <f t="shared" si="50"/>
        <v>0</v>
      </c>
    </row>
    <row r="247" spans="1:25" x14ac:dyDescent="0.2">
      <c r="A247" s="3" t="s">
        <v>440</v>
      </c>
      <c r="B247" s="225">
        <v>184</v>
      </c>
      <c r="C247" s="37"/>
      <c r="D247" s="10"/>
      <c r="E247" s="10" t="s">
        <v>102</v>
      </c>
      <c r="F247" s="19" t="s">
        <v>103</v>
      </c>
      <c r="G247" s="159" t="s">
        <v>244</v>
      </c>
      <c r="H247" s="363">
        <f>+'Yr 1 Operating Statement of Act'!G249</f>
        <v>0</v>
      </c>
      <c r="I247" s="364"/>
      <c r="J247" s="364"/>
      <c r="K247" s="364"/>
      <c r="L247" s="364"/>
      <c r="M247" s="364"/>
      <c r="N247" s="364"/>
      <c r="O247" s="364"/>
      <c r="P247" s="364"/>
      <c r="Q247" s="364"/>
      <c r="R247" s="364"/>
      <c r="S247" s="365"/>
      <c r="T247" s="365">
        <f t="shared" si="52"/>
        <v>0</v>
      </c>
      <c r="U247" s="365"/>
      <c r="V247" s="365">
        <f t="shared" si="50"/>
        <v>0</v>
      </c>
    </row>
    <row r="248" spans="1:25" x14ac:dyDescent="0.2">
      <c r="A248" s="3" t="s">
        <v>440</v>
      </c>
      <c r="B248" s="225">
        <v>185</v>
      </c>
      <c r="C248" s="37"/>
      <c r="D248" s="10"/>
      <c r="E248" s="10" t="s">
        <v>104</v>
      </c>
      <c r="F248" s="19" t="s">
        <v>105</v>
      </c>
      <c r="G248" s="159" t="s">
        <v>244</v>
      </c>
      <c r="H248" s="363">
        <f>+'Yr 1 Operating Statement of Act'!G250</f>
        <v>0</v>
      </c>
      <c r="I248" s="364"/>
      <c r="J248" s="364"/>
      <c r="K248" s="364"/>
      <c r="L248" s="364"/>
      <c r="M248" s="364"/>
      <c r="N248" s="364"/>
      <c r="O248" s="364"/>
      <c r="P248" s="364"/>
      <c r="Q248" s="364"/>
      <c r="R248" s="364"/>
      <c r="S248" s="365"/>
      <c r="T248" s="365">
        <f t="shared" si="52"/>
        <v>0</v>
      </c>
      <c r="U248" s="365"/>
      <c r="V248" s="365">
        <f t="shared" si="50"/>
        <v>0</v>
      </c>
    </row>
    <row r="249" spans="1:25" x14ac:dyDescent="0.2">
      <c r="A249" s="3" t="s">
        <v>440</v>
      </c>
      <c r="B249" s="225">
        <v>186</v>
      </c>
      <c r="C249" s="37"/>
      <c r="D249" s="86"/>
      <c r="E249" s="10"/>
      <c r="F249" s="19"/>
      <c r="G249" s="159"/>
      <c r="H249" s="363"/>
      <c r="I249" s="364"/>
      <c r="J249" s="364"/>
      <c r="K249" s="364"/>
      <c r="L249" s="364"/>
      <c r="M249" s="364"/>
      <c r="N249" s="364"/>
      <c r="O249" s="364"/>
      <c r="P249" s="364"/>
      <c r="Q249" s="364"/>
      <c r="R249" s="364"/>
      <c r="S249" s="365"/>
      <c r="T249" s="365">
        <f t="shared" si="52"/>
        <v>0</v>
      </c>
      <c r="U249" s="365"/>
      <c r="V249" s="365">
        <f t="shared" si="50"/>
        <v>0</v>
      </c>
    </row>
    <row r="250" spans="1:25" x14ac:dyDescent="0.2">
      <c r="A250" s="3" t="s">
        <v>440</v>
      </c>
      <c r="B250" s="225">
        <v>187</v>
      </c>
      <c r="C250" s="84"/>
      <c r="E250" s="14"/>
      <c r="F250" s="15"/>
      <c r="G250" s="167"/>
      <c r="H250" s="380"/>
      <c r="I250" s="381"/>
      <c r="J250" s="381"/>
      <c r="K250" s="381"/>
      <c r="L250" s="381"/>
      <c r="M250" s="381"/>
      <c r="N250" s="381"/>
      <c r="O250" s="381"/>
      <c r="P250" s="381"/>
      <c r="Q250" s="381"/>
      <c r="R250" s="381"/>
      <c r="S250" s="382"/>
      <c r="T250" s="365">
        <f t="shared" si="52"/>
        <v>0</v>
      </c>
      <c r="U250" s="365"/>
      <c r="V250" s="365">
        <f t="shared" si="50"/>
        <v>0</v>
      </c>
    </row>
    <row r="251" spans="1:25" x14ac:dyDescent="0.2">
      <c r="A251" s="3" t="s">
        <v>440</v>
      </c>
      <c r="B251" s="226">
        <v>188</v>
      </c>
      <c r="C251" s="88" t="s">
        <v>154</v>
      </c>
      <c r="D251" s="7"/>
      <c r="E251" s="7"/>
      <c r="F251" s="50"/>
      <c r="G251" s="163"/>
      <c r="H251" s="372">
        <f t="shared" ref="H251:U251" si="53">SUM(H231:H250)</f>
        <v>2220.766129032258</v>
      </c>
      <c r="I251" s="373">
        <f t="shared" si="53"/>
        <v>2220.766129032258</v>
      </c>
      <c r="J251" s="373">
        <f t="shared" si="53"/>
        <v>2220.766129032258</v>
      </c>
      <c r="K251" s="373">
        <f t="shared" si="53"/>
        <v>2220.766129032258</v>
      </c>
      <c r="L251" s="373">
        <f t="shared" si="53"/>
        <v>2220.766129032258</v>
      </c>
      <c r="M251" s="373">
        <f t="shared" si="53"/>
        <v>2220.766129032258</v>
      </c>
      <c r="N251" s="373">
        <f t="shared" si="53"/>
        <v>2220.766129032258</v>
      </c>
      <c r="O251" s="373">
        <f t="shared" si="53"/>
        <v>2220.766129032258</v>
      </c>
      <c r="P251" s="373">
        <f t="shared" si="53"/>
        <v>2220.766129032258</v>
      </c>
      <c r="Q251" s="373">
        <f t="shared" si="53"/>
        <v>2220.766129032258</v>
      </c>
      <c r="R251" s="373">
        <f t="shared" si="53"/>
        <v>2220.766129032258</v>
      </c>
      <c r="S251" s="374">
        <f t="shared" si="53"/>
        <v>2220.766129032258</v>
      </c>
      <c r="T251" s="374">
        <f t="shared" si="53"/>
        <v>26649.193548387095</v>
      </c>
      <c r="U251" s="374">
        <f t="shared" si="53"/>
        <v>0</v>
      </c>
      <c r="V251" s="374">
        <f t="shared" si="50"/>
        <v>26649.193548387095</v>
      </c>
    </row>
    <row r="252" spans="1:25" x14ac:dyDescent="0.2">
      <c r="A252" s="3" t="s">
        <v>440</v>
      </c>
      <c r="B252" s="230"/>
      <c r="C252" s="36"/>
      <c r="D252" s="13"/>
      <c r="E252" s="13"/>
      <c r="F252" s="72"/>
      <c r="G252" s="157"/>
      <c r="H252" s="389"/>
      <c r="I252" s="371"/>
      <c r="J252" s="371"/>
      <c r="K252" s="371"/>
      <c r="L252" s="371"/>
      <c r="M252" s="371"/>
      <c r="N252" s="371"/>
      <c r="O252" s="371"/>
      <c r="P252" s="371"/>
      <c r="Q252" s="371"/>
      <c r="R252" s="371"/>
      <c r="S252" s="390"/>
      <c r="T252" s="390"/>
      <c r="U252" s="390"/>
      <c r="V252" s="379"/>
    </row>
    <row r="253" spans="1:25" s="5" customFormat="1" ht="15" x14ac:dyDescent="0.25">
      <c r="A253" s="3" t="s">
        <v>440</v>
      </c>
      <c r="B253" s="225"/>
      <c r="C253" s="89" t="s">
        <v>28</v>
      </c>
      <c r="D253" s="54"/>
      <c r="E253" s="54"/>
      <c r="F253" s="78"/>
      <c r="G253" s="170"/>
      <c r="H253" s="391"/>
      <c r="I253" s="392"/>
      <c r="J253" s="392"/>
      <c r="K253" s="392"/>
      <c r="L253" s="392"/>
      <c r="M253" s="392"/>
      <c r="N253" s="392"/>
      <c r="O253" s="392"/>
      <c r="P253" s="392"/>
      <c r="Q253" s="392"/>
      <c r="R253" s="392"/>
      <c r="S253" s="393"/>
      <c r="T253" s="393"/>
      <c r="U253" s="393"/>
      <c r="V253" s="379"/>
      <c r="Y253" s="423"/>
    </row>
    <row r="254" spans="1:25" x14ac:dyDescent="0.2">
      <c r="A254" s="3" t="s">
        <v>440</v>
      </c>
      <c r="B254" s="225">
        <v>189</v>
      </c>
      <c r="C254" s="37"/>
      <c r="D254" s="10" t="s">
        <v>298</v>
      </c>
      <c r="E254" s="10"/>
      <c r="F254" s="19" t="s">
        <v>222</v>
      </c>
      <c r="G254" s="159" t="s">
        <v>245</v>
      </c>
      <c r="H254" s="363">
        <f>+'Yr 1 Operating Statement of Act'!$G256/12</f>
        <v>0</v>
      </c>
      <c r="I254" s="364">
        <f>+'Yr 1 Operating Statement of Act'!$G256/12</f>
        <v>0</v>
      </c>
      <c r="J254" s="364">
        <f>+'Yr 1 Operating Statement of Act'!$G256/12</f>
        <v>0</v>
      </c>
      <c r="K254" s="364">
        <f>+'Yr 1 Operating Statement of Act'!$G256/12</f>
        <v>0</v>
      </c>
      <c r="L254" s="364">
        <f>+'Yr 1 Operating Statement of Act'!$G256/12</f>
        <v>0</v>
      </c>
      <c r="M254" s="364">
        <f>+'Yr 1 Operating Statement of Act'!$G256/12</f>
        <v>0</v>
      </c>
      <c r="N254" s="364">
        <f>+'Yr 1 Operating Statement of Act'!$G256/12</f>
        <v>0</v>
      </c>
      <c r="O254" s="364">
        <f>+'Yr 1 Operating Statement of Act'!$G256/12</f>
        <v>0</v>
      </c>
      <c r="P254" s="364">
        <f>+'Yr 1 Operating Statement of Act'!$G256/12</f>
        <v>0</v>
      </c>
      <c r="Q254" s="364">
        <f>+'Yr 1 Operating Statement of Act'!$G256/12</f>
        <v>0</v>
      </c>
      <c r="R254" s="364">
        <f>+'Yr 1 Operating Statement of Act'!$G256/12</f>
        <v>0</v>
      </c>
      <c r="S254" s="365">
        <f>+'Yr 1 Operating Statement of Act'!$G256/12</f>
        <v>0</v>
      </c>
      <c r="T254" s="365">
        <f t="shared" ref="T254:T261" si="54">SUM(H254:S254)</f>
        <v>0</v>
      </c>
      <c r="U254" s="365"/>
      <c r="V254" s="365">
        <f t="shared" si="50"/>
        <v>0</v>
      </c>
    </row>
    <row r="255" spans="1:25" x14ac:dyDescent="0.2">
      <c r="A255" s="3" t="s">
        <v>440</v>
      </c>
      <c r="B255" s="225">
        <v>190</v>
      </c>
      <c r="C255" s="37"/>
      <c r="D255" s="10" t="s">
        <v>83</v>
      </c>
      <c r="E255" s="10"/>
      <c r="F255" s="19" t="s">
        <v>84</v>
      </c>
      <c r="G255" s="159" t="s">
        <v>156</v>
      </c>
      <c r="H255" s="363">
        <f>+'Yr 1 Operating Statement of Act'!G257</f>
        <v>0</v>
      </c>
      <c r="I255" s="364"/>
      <c r="J255" s="364"/>
      <c r="K255" s="364"/>
      <c r="L255" s="364"/>
      <c r="M255" s="364"/>
      <c r="N255" s="364"/>
      <c r="O255" s="364"/>
      <c r="P255" s="364"/>
      <c r="Q255" s="364"/>
      <c r="R255" s="364"/>
      <c r="S255" s="365"/>
      <c r="T255" s="365">
        <f t="shared" si="54"/>
        <v>0</v>
      </c>
      <c r="U255" s="365"/>
      <c r="V255" s="365">
        <f t="shared" si="50"/>
        <v>0</v>
      </c>
    </row>
    <row r="256" spans="1:25" x14ac:dyDescent="0.2">
      <c r="A256" s="3" t="s">
        <v>440</v>
      </c>
      <c r="B256" s="225">
        <v>191</v>
      </c>
      <c r="C256" s="37"/>
      <c r="D256" s="10" t="s">
        <v>111</v>
      </c>
      <c r="E256" s="10"/>
      <c r="F256" s="19" t="s">
        <v>112</v>
      </c>
      <c r="G256" s="159" t="s">
        <v>157</v>
      </c>
      <c r="H256" s="363">
        <f>+'Yr 1 Operating Statement of Act'!$G258*0</f>
        <v>0</v>
      </c>
      <c r="I256" s="364">
        <f>+'Yr 1 Operating Statement of Act'!$G258*0</f>
        <v>0</v>
      </c>
      <c r="J256" s="364">
        <f>+'Yr 1 Operating Statement of Act'!$G258*'KIPP Assumptions'!$C$118</f>
        <v>4886.363636363636</v>
      </c>
      <c r="K256" s="364">
        <f>+'Yr 1 Operating Statement of Act'!$G258*'KIPP Assumptions'!$C$119</f>
        <v>4397.727272727273</v>
      </c>
      <c r="L256" s="364">
        <f>+'Yr 1 Operating Statement of Act'!$G258*'KIPP Assumptions'!$C$120</f>
        <v>4642.045454545455</v>
      </c>
      <c r="M256" s="364">
        <f>+'Yr 1 Operating Statement of Act'!$G258*'KIPP Assumptions'!$C$121</f>
        <v>3909.090909090909</v>
      </c>
      <c r="N256" s="364">
        <f>+'Yr 1 Operating Statement of Act'!$G258*'KIPP Assumptions'!$C$122</f>
        <v>2931.8181818181815</v>
      </c>
      <c r="O256" s="364">
        <f>+'Yr 1 Operating Statement of Act'!$G258*'KIPP Assumptions'!$C$123</f>
        <v>4886.363636363636</v>
      </c>
      <c r="P256" s="364">
        <f>+'Yr 1 Operating Statement of Act'!$G258*'KIPP Assumptions'!$C$124</f>
        <v>4886.363636363636</v>
      </c>
      <c r="Q256" s="364">
        <f>+'Yr 1 Operating Statement of Act'!$G258*'KIPP Assumptions'!$C$125</f>
        <v>3176.136363636364</v>
      </c>
      <c r="R256" s="364">
        <f>+'Yr 1 Operating Statement of Act'!$G258*'KIPP Assumptions'!$C$126</f>
        <v>5130.681818181818</v>
      </c>
      <c r="S256" s="365">
        <f>+'Yr 1 Operating Statement of Act'!$G258*'KIPP Assumptions'!$C$127</f>
        <v>4153.409090909091</v>
      </c>
      <c r="T256" s="365">
        <f t="shared" si="54"/>
        <v>42999.999999999993</v>
      </c>
      <c r="U256" s="365"/>
      <c r="V256" s="365">
        <f t="shared" si="50"/>
        <v>42999.999999999993</v>
      </c>
    </row>
    <row r="257" spans="1:22" x14ac:dyDescent="0.2">
      <c r="A257" s="3" t="s">
        <v>440</v>
      </c>
      <c r="B257" s="225">
        <v>192</v>
      </c>
      <c r="C257" s="37"/>
      <c r="D257" s="10" t="s">
        <v>158</v>
      </c>
      <c r="E257" s="10"/>
      <c r="F257" s="19" t="s">
        <v>159</v>
      </c>
      <c r="G257" s="159" t="s">
        <v>156</v>
      </c>
      <c r="H257" s="363">
        <f>+'Yr 1 Operating Statement of Act'!G259</f>
        <v>0</v>
      </c>
      <c r="I257" s="364"/>
      <c r="J257" s="364"/>
      <c r="K257" s="364"/>
      <c r="L257" s="364"/>
      <c r="M257" s="364"/>
      <c r="N257" s="364"/>
      <c r="O257" s="364"/>
      <c r="P257" s="364"/>
      <c r="Q257" s="364"/>
      <c r="R257" s="364"/>
      <c r="S257" s="365"/>
      <c r="T257" s="365">
        <f t="shared" si="54"/>
        <v>0</v>
      </c>
      <c r="U257" s="365"/>
      <c r="V257" s="365">
        <f t="shared" si="50"/>
        <v>0</v>
      </c>
    </row>
    <row r="258" spans="1:22" x14ac:dyDescent="0.2">
      <c r="A258" s="3" t="s">
        <v>440</v>
      </c>
      <c r="B258" s="225">
        <v>193</v>
      </c>
      <c r="C258" s="37"/>
      <c r="D258" s="10" t="s">
        <v>110</v>
      </c>
      <c r="E258" s="10"/>
      <c r="F258" s="19" t="s">
        <v>90</v>
      </c>
      <c r="G258" s="159" t="s">
        <v>156</v>
      </c>
      <c r="H258" s="363">
        <f>+'Yr 1 Operating Statement of Act'!G260</f>
        <v>0</v>
      </c>
      <c r="I258" s="364"/>
      <c r="J258" s="364"/>
      <c r="K258" s="364"/>
      <c r="L258" s="364"/>
      <c r="M258" s="364"/>
      <c r="N258" s="364"/>
      <c r="O258" s="364"/>
      <c r="P258" s="364"/>
      <c r="Q258" s="364"/>
      <c r="R258" s="364"/>
      <c r="S258" s="365"/>
      <c r="T258" s="365">
        <f t="shared" si="54"/>
        <v>0</v>
      </c>
      <c r="U258" s="365"/>
      <c r="V258" s="365">
        <f t="shared" si="50"/>
        <v>0</v>
      </c>
    </row>
    <row r="259" spans="1:22" x14ac:dyDescent="0.2">
      <c r="A259" s="3" t="s">
        <v>440</v>
      </c>
      <c r="B259" s="225">
        <v>194</v>
      </c>
      <c r="C259" s="37"/>
      <c r="D259" s="10" t="s">
        <v>160</v>
      </c>
      <c r="E259" s="10"/>
      <c r="F259" s="19" t="s">
        <v>115</v>
      </c>
      <c r="G259" s="159" t="s">
        <v>156</v>
      </c>
      <c r="H259" s="363">
        <f>+'Yr 1 Operating Statement of Act'!G261</f>
        <v>0</v>
      </c>
      <c r="I259" s="364"/>
      <c r="J259" s="364"/>
      <c r="K259" s="364"/>
      <c r="L259" s="364"/>
      <c r="M259" s="364"/>
      <c r="N259" s="364"/>
      <c r="O259" s="364"/>
      <c r="P259" s="364"/>
      <c r="Q259" s="364"/>
      <c r="R259" s="364"/>
      <c r="S259" s="365"/>
      <c r="T259" s="365">
        <f t="shared" si="54"/>
        <v>0</v>
      </c>
      <c r="U259" s="365"/>
      <c r="V259" s="365">
        <f t="shared" si="50"/>
        <v>0</v>
      </c>
    </row>
    <row r="260" spans="1:22" x14ac:dyDescent="0.2">
      <c r="A260" s="3" t="s">
        <v>440</v>
      </c>
      <c r="B260" s="225">
        <v>195</v>
      </c>
      <c r="C260" s="37"/>
      <c r="D260" s="10" t="s">
        <v>93</v>
      </c>
      <c r="E260" s="10"/>
      <c r="F260" s="19" t="s">
        <v>94</v>
      </c>
      <c r="G260" s="159" t="s">
        <v>156</v>
      </c>
      <c r="H260" s="363">
        <f>+'Yr 1 Operating Statement of Act'!G262</f>
        <v>0</v>
      </c>
      <c r="I260" s="364"/>
      <c r="J260" s="364"/>
      <c r="K260" s="364"/>
      <c r="L260" s="364"/>
      <c r="M260" s="364"/>
      <c r="N260" s="364"/>
      <c r="O260" s="364"/>
      <c r="P260" s="364"/>
      <c r="Q260" s="364"/>
      <c r="R260" s="364"/>
      <c r="S260" s="365"/>
      <c r="T260" s="365">
        <f t="shared" si="54"/>
        <v>0</v>
      </c>
      <c r="U260" s="365"/>
      <c r="V260" s="365">
        <f t="shared" si="50"/>
        <v>0</v>
      </c>
    </row>
    <row r="261" spans="1:22" x14ac:dyDescent="0.2">
      <c r="A261" s="3" t="s">
        <v>440</v>
      </c>
      <c r="B261" s="225">
        <v>196</v>
      </c>
      <c r="C261" s="37"/>
      <c r="D261" s="10" t="s">
        <v>95</v>
      </c>
      <c r="E261" s="10"/>
      <c r="F261" s="19" t="s">
        <v>96</v>
      </c>
      <c r="G261" s="159" t="s">
        <v>156</v>
      </c>
      <c r="H261" s="363">
        <f>+'Yr 1 Operating Statement of Act'!G263</f>
        <v>0</v>
      </c>
      <c r="I261" s="364"/>
      <c r="J261" s="364"/>
      <c r="K261" s="364"/>
      <c r="L261" s="364"/>
      <c r="M261" s="364"/>
      <c r="N261" s="364"/>
      <c r="O261" s="364"/>
      <c r="P261" s="364"/>
      <c r="Q261" s="364"/>
      <c r="R261" s="364"/>
      <c r="S261" s="365"/>
      <c r="T261" s="365">
        <f t="shared" si="54"/>
        <v>0</v>
      </c>
      <c r="U261" s="365"/>
      <c r="V261" s="365">
        <f t="shared" si="50"/>
        <v>0</v>
      </c>
    </row>
    <row r="262" spans="1:22" x14ac:dyDescent="0.2">
      <c r="A262" s="3" t="s">
        <v>440</v>
      </c>
      <c r="B262" s="225"/>
      <c r="C262" s="37"/>
      <c r="D262" s="10" t="s">
        <v>161</v>
      </c>
      <c r="E262" s="10"/>
      <c r="F262" s="62"/>
      <c r="G262" s="158"/>
      <c r="H262" s="378"/>
      <c r="I262" s="366"/>
      <c r="J262" s="366"/>
      <c r="K262" s="366"/>
      <c r="L262" s="366"/>
      <c r="M262" s="366"/>
      <c r="N262" s="366"/>
      <c r="O262" s="366"/>
      <c r="P262" s="366"/>
      <c r="Q262" s="366"/>
      <c r="R262" s="366"/>
      <c r="S262" s="379"/>
      <c r="T262" s="379"/>
      <c r="U262" s="379"/>
      <c r="V262" s="379"/>
    </row>
    <row r="263" spans="1:22" x14ac:dyDescent="0.2">
      <c r="A263" s="3" t="s">
        <v>440</v>
      </c>
      <c r="B263" s="225">
        <v>197</v>
      </c>
      <c r="C263" s="37"/>
      <c r="D263" s="10"/>
      <c r="E263" s="10" t="s">
        <v>162</v>
      </c>
      <c r="F263" s="19" t="s">
        <v>159</v>
      </c>
      <c r="G263" s="159" t="s">
        <v>155</v>
      </c>
      <c r="H263" s="363">
        <f>+'Yr 1 Operating Statement of Act'!G265</f>
        <v>0</v>
      </c>
      <c r="I263" s="364"/>
      <c r="J263" s="364"/>
      <c r="K263" s="364"/>
      <c r="L263" s="364"/>
      <c r="M263" s="364"/>
      <c r="N263" s="364"/>
      <c r="O263" s="364"/>
      <c r="P263" s="364"/>
      <c r="Q263" s="364"/>
      <c r="R263" s="364"/>
      <c r="S263" s="365"/>
      <c r="T263" s="365">
        <f t="shared" ref="T263:T282" si="55">SUM(H263:S263)</f>
        <v>0</v>
      </c>
      <c r="U263" s="365"/>
      <c r="V263" s="365">
        <f t="shared" si="50"/>
        <v>0</v>
      </c>
    </row>
    <row r="264" spans="1:22" x14ac:dyDescent="0.2">
      <c r="A264" s="3" t="s">
        <v>440</v>
      </c>
      <c r="B264" s="225">
        <v>198</v>
      </c>
      <c r="C264" s="37"/>
      <c r="D264" s="10"/>
      <c r="E264" s="10" t="s">
        <v>163</v>
      </c>
      <c r="F264" s="19" t="s">
        <v>164</v>
      </c>
      <c r="G264" s="159" t="s">
        <v>155</v>
      </c>
      <c r="H264" s="363">
        <f>+'Yr 1 Operating Statement of Act'!$G266/12</f>
        <v>260.41666666666669</v>
      </c>
      <c r="I264" s="364">
        <f>+'Yr 1 Operating Statement of Act'!$G266/12</f>
        <v>260.41666666666669</v>
      </c>
      <c r="J264" s="364">
        <f>+'Yr 1 Operating Statement of Act'!$G266/12</f>
        <v>260.41666666666669</v>
      </c>
      <c r="K264" s="364">
        <f>+'Yr 1 Operating Statement of Act'!$G266/12</f>
        <v>260.41666666666669</v>
      </c>
      <c r="L264" s="364">
        <f>+'Yr 1 Operating Statement of Act'!$G266/12</f>
        <v>260.41666666666669</v>
      </c>
      <c r="M264" s="364">
        <f>+'Yr 1 Operating Statement of Act'!$G266/12</f>
        <v>260.41666666666669</v>
      </c>
      <c r="N264" s="364">
        <f>+'Yr 1 Operating Statement of Act'!$G266/12</f>
        <v>260.41666666666669</v>
      </c>
      <c r="O264" s="364">
        <f>+'Yr 1 Operating Statement of Act'!$G266/12</f>
        <v>260.41666666666669</v>
      </c>
      <c r="P264" s="364">
        <f>+'Yr 1 Operating Statement of Act'!$G266/12</f>
        <v>260.41666666666669</v>
      </c>
      <c r="Q264" s="364">
        <f>+'Yr 1 Operating Statement of Act'!$G266/12</f>
        <v>260.41666666666669</v>
      </c>
      <c r="R264" s="364">
        <f>+'Yr 1 Operating Statement of Act'!$G266/12</f>
        <v>260.41666666666669</v>
      </c>
      <c r="S264" s="365">
        <f>+'Yr 1 Operating Statement of Act'!$G266/12</f>
        <v>260.41666666666669</v>
      </c>
      <c r="T264" s="365">
        <f t="shared" si="55"/>
        <v>3124.9999999999995</v>
      </c>
      <c r="U264" s="365"/>
      <c r="V264" s="365">
        <f t="shared" si="50"/>
        <v>3124.9999999999995</v>
      </c>
    </row>
    <row r="265" spans="1:22" x14ac:dyDescent="0.2">
      <c r="A265" s="3" t="s">
        <v>440</v>
      </c>
      <c r="B265" s="225">
        <v>199</v>
      </c>
      <c r="C265" s="37"/>
      <c r="D265" s="10"/>
      <c r="E265" s="10" t="s">
        <v>165</v>
      </c>
      <c r="F265" s="19" t="s">
        <v>166</v>
      </c>
      <c r="G265" s="159" t="s">
        <v>155</v>
      </c>
      <c r="H265" s="363">
        <f>+'Yr 1 Operating Statement of Act'!$G267/12</f>
        <v>193.75</v>
      </c>
      <c r="I265" s="364">
        <f>+'Yr 1 Operating Statement of Act'!$G267/12</f>
        <v>193.75</v>
      </c>
      <c r="J265" s="364">
        <f>+'Yr 1 Operating Statement of Act'!$G267/12</f>
        <v>193.75</v>
      </c>
      <c r="K265" s="364">
        <f>+'Yr 1 Operating Statement of Act'!$G267/12</f>
        <v>193.75</v>
      </c>
      <c r="L265" s="364">
        <f>+'Yr 1 Operating Statement of Act'!$G267/12</f>
        <v>193.75</v>
      </c>
      <c r="M265" s="364">
        <f>+'Yr 1 Operating Statement of Act'!$G267/12</f>
        <v>193.75</v>
      </c>
      <c r="N265" s="364">
        <f>+'Yr 1 Operating Statement of Act'!$G267/12</f>
        <v>193.75</v>
      </c>
      <c r="O265" s="364">
        <f>+'Yr 1 Operating Statement of Act'!$G267/12</f>
        <v>193.75</v>
      </c>
      <c r="P265" s="364">
        <f>+'Yr 1 Operating Statement of Act'!$G267/12</f>
        <v>193.75</v>
      </c>
      <c r="Q265" s="364">
        <f>+'Yr 1 Operating Statement of Act'!$G267/12</f>
        <v>193.75</v>
      </c>
      <c r="R265" s="364">
        <f>+'Yr 1 Operating Statement of Act'!$G267/12</f>
        <v>193.75</v>
      </c>
      <c r="S265" s="365">
        <f>+'Yr 1 Operating Statement of Act'!$G267/12</f>
        <v>193.75</v>
      </c>
      <c r="T265" s="365">
        <f t="shared" si="55"/>
        <v>2325</v>
      </c>
      <c r="U265" s="365"/>
      <c r="V265" s="365">
        <f t="shared" si="50"/>
        <v>2325</v>
      </c>
    </row>
    <row r="266" spans="1:22" x14ac:dyDescent="0.2">
      <c r="A266" s="3" t="s">
        <v>440</v>
      </c>
      <c r="B266" s="225">
        <v>200</v>
      </c>
      <c r="C266" s="37"/>
      <c r="D266" s="10"/>
      <c r="E266" s="10" t="s">
        <v>167</v>
      </c>
      <c r="F266" s="19" t="s">
        <v>168</v>
      </c>
      <c r="G266" s="159" t="s">
        <v>155</v>
      </c>
      <c r="H266" s="363">
        <f>+'Yr 1 Operating Statement of Act'!$G268/12</f>
        <v>3562.5</v>
      </c>
      <c r="I266" s="364">
        <f>+'Yr 1 Operating Statement of Act'!$G268/12</f>
        <v>3562.5</v>
      </c>
      <c r="J266" s="364">
        <f>+'Yr 1 Operating Statement of Act'!$G268/12</f>
        <v>3562.5</v>
      </c>
      <c r="K266" s="364">
        <f>+'Yr 1 Operating Statement of Act'!$G268/12</f>
        <v>3562.5</v>
      </c>
      <c r="L266" s="364">
        <f>+'Yr 1 Operating Statement of Act'!$G268/12</f>
        <v>3562.5</v>
      </c>
      <c r="M266" s="364">
        <f>+'Yr 1 Operating Statement of Act'!$G268/12</f>
        <v>3562.5</v>
      </c>
      <c r="N266" s="364">
        <f>+'Yr 1 Operating Statement of Act'!$G268/12</f>
        <v>3562.5</v>
      </c>
      <c r="O266" s="364">
        <f>+'Yr 1 Operating Statement of Act'!$G268/12</f>
        <v>3562.5</v>
      </c>
      <c r="P266" s="364">
        <f>+'Yr 1 Operating Statement of Act'!$G268/12</f>
        <v>3562.5</v>
      </c>
      <c r="Q266" s="364">
        <f>+'Yr 1 Operating Statement of Act'!$G268/12</f>
        <v>3562.5</v>
      </c>
      <c r="R266" s="364">
        <f>+'Yr 1 Operating Statement of Act'!$G268/12</f>
        <v>3562.5</v>
      </c>
      <c r="S266" s="365">
        <f>+'Yr 1 Operating Statement of Act'!$G268/12</f>
        <v>3562.5</v>
      </c>
      <c r="T266" s="365">
        <f t="shared" si="55"/>
        <v>42750</v>
      </c>
      <c r="U266" s="365"/>
      <c r="V266" s="365">
        <f t="shared" ref="V266:V329" si="56">+T266+U266</f>
        <v>42750</v>
      </c>
    </row>
    <row r="267" spans="1:22" x14ac:dyDescent="0.2">
      <c r="A267" s="3" t="s">
        <v>440</v>
      </c>
      <c r="B267" s="225">
        <v>201</v>
      </c>
      <c r="C267" s="37"/>
      <c r="D267" s="10"/>
      <c r="E267" s="10" t="s">
        <v>85</v>
      </c>
      <c r="F267" s="19" t="s">
        <v>86</v>
      </c>
      <c r="G267" s="159" t="s">
        <v>155</v>
      </c>
      <c r="H267" s="363">
        <f>+'Yr 1 Operating Statement of Act'!$G269/12</f>
        <v>1882.295729102904</v>
      </c>
      <c r="I267" s="364">
        <f>+'Yr 1 Operating Statement of Act'!$G269/12</f>
        <v>1882.295729102904</v>
      </c>
      <c r="J267" s="364">
        <f>+'Yr 1 Operating Statement of Act'!$G269/12</f>
        <v>1882.295729102904</v>
      </c>
      <c r="K267" s="364">
        <f>+'Yr 1 Operating Statement of Act'!$G269/12</f>
        <v>1882.295729102904</v>
      </c>
      <c r="L267" s="364">
        <f>+'Yr 1 Operating Statement of Act'!$G269/12</f>
        <v>1882.295729102904</v>
      </c>
      <c r="M267" s="364">
        <f>+'Yr 1 Operating Statement of Act'!$G269/12</f>
        <v>1882.295729102904</v>
      </c>
      <c r="N267" s="364">
        <f>+'Yr 1 Operating Statement of Act'!$G269/12</f>
        <v>1882.295729102904</v>
      </c>
      <c r="O267" s="364">
        <f>+'Yr 1 Operating Statement of Act'!$G269/12</f>
        <v>1882.295729102904</v>
      </c>
      <c r="P267" s="364">
        <f>+'Yr 1 Operating Statement of Act'!$G269/12</f>
        <v>1882.295729102904</v>
      </c>
      <c r="Q267" s="364">
        <f>+'Yr 1 Operating Statement of Act'!$G269/12</f>
        <v>1882.295729102904</v>
      </c>
      <c r="R267" s="364">
        <f>+'Yr 1 Operating Statement of Act'!$G269/12</f>
        <v>1882.295729102904</v>
      </c>
      <c r="S267" s="365">
        <f>+'Yr 1 Operating Statement of Act'!$G269/12</f>
        <v>1882.295729102904</v>
      </c>
      <c r="T267" s="365">
        <f t="shared" si="55"/>
        <v>22587.548749234851</v>
      </c>
      <c r="U267" s="365"/>
      <c r="V267" s="365">
        <f t="shared" si="56"/>
        <v>22587.548749234851</v>
      </c>
    </row>
    <row r="268" spans="1:22" x14ac:dyDescent="0.2">
      <c r="A268" s="3" t="s">
        <v>440</v>
      </c>
      <c r="B268" s="225">
        <v>202</v>
      </c>
      <c r="C268" s="37"/>
      <c r="D268" s="10"/>
      <c r="E268" s="10" t="s">
        <v>169</v>
      </c>
      <c r="F268" s="19" t="s">
        <v>170</v>
      </c>
      <c r="G268" s="159" t="s">
        <v>155</v>
      </c>
      <c r="H268" s="363">
        <f>+'Yr 1 Operating Statement of Act'!$G270*0</f>
        <v>0</v>
      </c>
      <c r="I268" s="364">
        <f>+'Yr 1 Operating Statement of Act'!$G270*0</f>
        <v>0</v>
      </c>
      <c r="J268" s="364">
        <f>+'Yr 1 Operating Statement of Act'!$G270*0</f>
        <v>0</v>
      </c>
      <c r="K268" s="364">
        <f>+'Yr 1 Operating Statement of Act'!$G270*0</f>
        <v>0</v>
      </c>
      <c r="L268" s="364">
        <f>+'Yr 1 Operating Statement of Act'!$G270*0</f>
        <v>0</v>
      </c>
      <c r="M268" s="364">
        <f>+'Yr 1 Operating Statement of Act'!$G270*0</f>
        <v>0</v>
      </c>
      <c r="N268" s="364">
        <f>+'Yr 1 Operating Statement of Act'!$G270*0</f>
        <v>0</v>
      </c>
      <c r="O268" s="364">
        <f>+'Yr 1 Operating Statement of Act'!$G270*0</f>
        <v>0</v>
      </c>
      <c r="P268" s="364">
        <f>+'Yr 1 Operating Statement of Act'!$G270*1</f>
        <v>20650</v>
      </c>
      <c r="Q268" s="364">
        <f>+'Yr 1 Operating Statement of Act'!$G270*0</f>
        <v>0</v>
      </c>
      <c r="R268" s="364">
        <f>+'Yr 1 Operating Statement of Act'!$G270*0</f>
        <v>0</v>
      </c>
      <c r="S268" s="365">
        <f>+'Yr 1 Operating Statement of Act'!$G270*0</f>
        <v>0</v>
      </c>
      <c r="T268" s="365">
        <f t="shared" si="55"/>
        <v>20650</v>
      </c>
      <c r="U268" s="365"/>
      <c r="V268" s="365">
        <f t="shared" si="56"/>
        <v>20650</v>
      </c>
    </row>
    <row r="269" spans="1:22" x14ac:dyDescent="0.2">
      <c r="A269" s="3" t="s">
        <v>440</v>
      </c>
      <c r="B269" s="225">
        <v>203</v>
      </c>
      <c r="C269" s="37"/>
      <c r="D269" s="10"/>
      <c r="E269" s="10" t="s">
        <v>171</v>
      </c>
      <c r="F269" s="19" t="s">
        <v>144</v>
      </c>
      <c r="G269" s="159" t="s">
        <v>155</v>
      </c>
      <c r="H269" s="363">
        <f>+'Yr 1 Operating Statement of Act'!G271</f>
        <v>0</v>
      </c>
      <c r="I269" s="364"/>
      <c r="J269" s="364"/>
      <c r="K269" s="364"/>
      <c r="L269" s="364"/>
      <c r="M269" s="364"/>
      <c r="N269" s="364"/>
      <c r="O269" s="364"/>
      <c r="P269" s="364"/>
      <c r="Q269" s="364"/>
      <c r="R269" s="364"/>
      <c r="S269" s="365"/>
      <c r="T269" s="365">
        <f t="shared" si="55"/>
        <v>0</v>
      </c>
      <c r="U269" s="365"/>
      <c r="V269" s="365">
        <f t="shared" si="56"/>
        <v>0</v>
      </c>
    </row>
    <row r="270" spans="1:22" x14ac:dyDescent="0.2">
      <c r="A270" s="3" t="s">
        <v>440</v>
      </c>
      <c r="B270" s="225">
        <v>204</v>
      </c>
      <c r="C270" s="37"/>
      <c r="D270" s="10"/>
      <c r="E270" s="10" t="s">
        <v>248</v>
      </c>
      <c r="F270" s="19" t="s">
        <v>249</v>
      </c>
      <c r="G270" s="159" t="s">
        <v>155</v>
      </c>
      <c r="H270" s="363">
        <f>+'Yr 1 Operating Statement of Act'!$G272/12</f>
        <v>3750</v>
      </c>
      <c r="I270" s="364">
        <f>+'Yr 1 Operating Statement of Act'!$G272/12</f>
        <v>3750</v>
      </c>
      <c r="J270" s="364">
        <f>+'Yr 1 Operating Statement of Act'!$G272/12</f>
        <v>3750</v>
      </c>
      <c r="K270" s="364">
        <f>+'Yr 1 Operating Statement of Act'!$G272/12</f>
        <v>3750</v>
      </c>
      <c r="L270" s="364">
        <f>+'Yr 1 Operating Statement of Act'!$G272/12</f>
        <v>3750</v>
      </c>
      <c r="M270" s="364">
        <f>+'Yr 1 Operating Statement of Act'!$G272/12</f>
        <v>3750</v>
      </c>
      <c r="N270" s="364">
        <f>+'Yr 1 Operating Statement of Act'!$G272/12</f>
        <v>3750</v>
      </c>
      <c r="O270" s="364">
        <f>+'Yr 1 Operating Statement of Act'!$G272/12</f>
        <v>3750</v>
      </c>
      <c r="P270" s="364">
        <f>+'Yr 1 Operating Statement of Act'!$G272/12</f>
        <v>3750</v>
      </c>
      <c r="Q270" s="364">
        <f>+'Yr 1 Operating Statement of Act'!$G272/12</f>
        <v>3750</v>
      </c>
      <c r="R270" s="364">
        <f>+'Yr 1 Operating Statement of Act'!$G272/12</f>
        <v>3750</v>
      </c>
      <c r="S270" s="365">
        <f>+'Yr 1 Operating Statement of Act'!$G272/12</f>
        <v>3750</v>
      </c>
      <c r="T270" s="365">
        <f t="shared" si="55"/>
        <v>45000</v>
      </c>
      <c r="U270" s="365"/>
      <c r="V270" s="365">
        <f t="shared" si="56"/>
        <v>45000</v>
      </c>
    </row>
    <row r="271" spans="1:22" x14ac:dyDescent="0.2">
      <c r="A271" s="3" t="s">
        <v>440</v>
      </c>
      <c r="B271" s="225">
        <v>205</v>
      </c>
      <c r="C271" s="37"/>
      <c r="D271" s="10" t="s">
        <v>172</v>
      </c>
      <c r="E271" s="10"/>
      <c r="F271" s="19" t="s">
        <v>251</v>
      </c>
      <c r="G271" s="159">
        <v>2630</v>
      </c>
      <c r="H271" s="363">
        <f>+'Yr 1 Operating Statement of Act'!$G273/12</f>
        <v>114.58333333333333</v>
      </c>
      <c r="I271" s="364">
        <f>+'Yr 1 Operating Statement of Act'!$G273/12</f>
        <v>114.58333333333333</v>
      </c>
      <c r="J271" s="364">
        <f>+'Yr 1 Operating Statement of Act'!$G273/12</f>
        <v>114.58333333333333</v>
      </c>
      <c r="K271" s="364">
        <f>+'Yr 1 Operating Statement of Act'!$G273/12</f>
        <v>114.58333333333333</v>
      </c>
      <c r="L271" s="364">
        <f>+'Yr 1 Operating Statement of Act'!$G273/12</f>
        <v>114.58333333333333</v>
      </c>
      <c r="M271" s="364">
        <f>+'Yr 1 Operating Statement of Act'!$G273/12</f>
        <v>114.58333333333333</v>
      </c>
      <c r="N271" s="364">
        <f>+'Yr 1 Operating Statement of Act'!$G273/12</f>
        <v>114.58333333333333</v>
      </c>
      <c r="O271" s="364">
        <f>+'Yr 1 Operating Statement of Act'!$G273/12</f>
        <v>114.58333333333333</v>
      </c>
      <c r="P271" s="364">
        <f>+'Yr 1 Operating Statement of Act'!$G273/12</f>
        <v>114.58333333333333</v>
      </c>
      <c r="Q271" s="364">
        <f>+'Yr 1 Operating Statement of Act'!$G273/12</f>
        <v>114.58333333333333</v>
      </c>
      <c r="R271" s="364">
        <f>+'Yr 1 Operating Statement of Act'!$G273/12</f>
        <v>114.58333333333333</v>
      </c>
      <c r="S271" s="365">
        <f>+'Yr 1 Operating Statement of Act'!$G273/12</f>
        <v>114.58333333333333</v>
      </c>
      <c r="T271" s="365">
        <f t="shared" si="55"/>
        <v>1374.9999999999998</v>
      </c>
      <c r="U271" s="365"/>
      <c r="V271" s="365">
        <f t="shared" si="56"/>
        <v>1374.9999999999998</v>
      </c>
    </row>
    <row r="272" spans="1:22" x14ac:dyDescent="0.2">
      <c r="A272" s="3" t="s">
        <v>440</v>
      </c>
      <c r="B272" s="225">
        <v>206</v>
      </c>
      <c r="C272" s="37"/>
      <c r="D272" s="10" t="s">
        <v>173</v>
      </c>
      <c r="E272" s="10"/>
      <c r="F272" s="19" t="s">
        <v>251</v>
      </c>
      <c r="G272" s="159">
        <v>2640</v>
      </c>
      <c r="H272" s="363">
        <f>+'Yr 1 Operating Statement of Act'!$G274/12</f>
        <v>104.16666666666667</v>
      </c>
      <c r="I272" s="364">
        <f>+'Yr 1 Operating Statement of Act'!$G274/12</f>
        <v>104.16666666666667</v>
      </c>
      <c r="J272" s="364">
        <f>+'Yr 1 Operating Statement of Act'!$G274/12</f>
        <v>104.16666666666667</v>
      </c>
      <c r="K272" s="364">
        <f>+'Yr 1 Operating Statement of Act'!$G274/12</f>
        <v>104.16666666666667</v>
      </c>
      <c r="L272" s="364">
        <f>+'Yr 1 Operating Statement of Act'!$G274/12</f>
        <v>104.16666666666667</v>
      </c>
      <c r="M272" s="364">
        <f>+'Yr 1 Operating Statement of Act'!$G274/12</f>
        <v>104.16666666666667</v>
      </c>
      <c r="N272" s="364">
        <f>+'Yr 1 Operating Statement of Act'!$G274/12</f>
        <v>104.16666666666667</v>
      </c>
      <c r="O272" s="364">
        <f>+'Yr 1 Operating Statement of Act'!$G274/12</f>
        <v>104.16666666666667</v>
      </c>
      <c r="P272" s="364">
        <f>+'Yr 1 Operating Statement of Act'!$G274/12</f>
        <v>104.16666666666667</v>
      </c>
      <c r="Q272" s="364">
        <f>+'Yr 1 Operating Statement of Act'!$G274/12</f>
        <v>104.16666666666667</v>
      </c>
      <c r="R272" s="364">
        <f>+'Yr 1 Operating Statement of Act'!$G274/12</f>
        <v>104.16666666666667</v>
      </c>
      <c r="S272" s="365">
        <f>+'Yr 1 Operating Statement of Act'!$G274/12</f>
        <v>104.16666666666667</v>
      </c>
      <c r="T272" s="365">
        <f t="shared" si="55"/>
        <v>1250</v>
      </c>
      <c r="U272" s="365"/>
      <c r="V272" s="365">
        <f t="shared" si="56"/>
        <v>1250</v>
      </c>
    </row>
    <row r="273" spans="1:22" x14ac:dyDescent="0.2">
      <c r="A273" s="3" t="s">
        <v>440</v>
      </c>
      <c r="B273" s="225">
        <v>207</v>
      </c>
      <c r="C273" s="37"/>
      <c r="D273" s="10" t="s">
        <v>174</v>
      </c>
      <c r="E273" s="10"/>
      <c r="F273" s="19" t="s">
        <v>221</v>
      </c>
      <c r="G273" s="159" t="s">
        <v>245</v>
      </c>
      <c r="H273" s="363">
        <f>+'Yr 1 Operating Statement of Act'!G275</f>
        <v>0</v>
      </c>
      <c r="I273" s="364"/>
      <c r="J273" s="364"/>
      <c r="K273" s="364"/>
      <c r="L273" s="364"/>
      <c r="M273" s="364"/>
      <c r="N273" s="364"/>
      <c r="O273" s="364"/>
      <c r="P273" s="364"/>
      <c r="Q273" s="364"/>
      <c r="R273" s="364"/>
      <c r="S273" s="365"/>
      <c r="T273" s="365">
        <f t="shared" si="55"/>
        <v>0</v>
      </c>
      <c r="U273" s="365"/>
      <c r="V273" s="365">
        <f t="shared" si="56"/>
        <v>0</v>
      </c>
    </row>
    <row r="274" spans="1:22" x14ac:dyDescent="0.2">
      <c r="A274" s="3" t="s">
        <v>440</v>
      </c>
      <c r="B274" s="225">
        <v>208</v>
      </c>
      <c r="C274" s="37"/>
      <c r="D274" s="10" t="s">
        <v>295</v>
      </c>
      <c r="E274" s="10"/>
      <c r="F274" s="19" t="s">
        <v>97</v>
      </c>
      <c r="G274" s="159" t="s">
        <v>245</v>
      </c>
      <c r="H274" s="363">
        <f>+'Yr 1 Operating Statement of Act'!$G276/12</f>
        <v>0</v>
      </c>
      <c r="I274" s="364">
        <f>+'Yr 1 Operating Statement of Act'!$G276/12</f>
        <v>0</v>
      </c>
      <c r="J274" s="364">
        <f>+'Yr 1 Operating Statement of Act'!$G276/12</f>
        <v>0</v>
      </c>
      <c r="K274" s="364">
        <f>+'Yr 1 Operating Statement of Act'!$G276/12</f>
        <v>0</v>
      </c>
      <c r="L274" s="364">
        <f>+'Yr 1 Operating Statement of Act'!$G276/12</f>
        <v>0</v>
      </c>
      <c r="M274" s="364">
        <f>+'Yr 1 Operating Statement of Act'!$G276/12</f>
        <v>0</v>
      </c>
      <c r="N274" s="364">
        <f>+'Yr 1 Operating Statement of Act'!$G276/12</f>
        <v>0</v>
      </c>
      <c r="O274" s="364">
        <f>+'Yr 1 Operating Statement of Act'!$G276/12</f>
        <v>0</v>
      </c>
      <c r="P274" s="364">
        <f>+'Yr 1 Operating Statement of Act'!$G276/12</f>
        <v>0</v>
      </c>
      <c r="Q274" s="364">
        <f>+'Yr 1 Operating Statement of Act'!$G276/12</f>
        <v>0</v>
      </c>
      <c r="R274" s="364">
        <f>+'Yr 1 Operating Statement of Act'!$G276/12</f>
        <v>0</v>
      </c>
      <c r="S274" s="365">
        <f>+'Yr 1 Operating Statement of Act'!$G276/12</f>
        <v>0</v>
      </c>
      <c r="T274" s="365">
        <f t="shared" si="55"/>
        <v>0</v>
      </c>
      <c r="U274" s="365"/>
      <c r="V274" s="365">
        <f t="shared" si="56"/>
        <v>0</v>
      </c>
    </row>
    <row r="275" spans="1:22" x14ac:dyDescent="0.2">
      <c r="A275" s="3" t="s">
        <v>440</v>
      </c>
      <c r="B275" s="225">
        <v>209</v>
      </c>
      <c r="C275" s="37"/>
      <c r="D275" s="10" t="s">
        <v>98</v>
      </c>
      <c r="E275" s="10"/>
      <c r="F275" s="19" t="s">
        <v>99</v>
      </c>
      <c r="G275" s="159" t="s">
        <v>245</v>
      </c>
      <c r="H275" s="363">
        <f>+'Yr 1 Operating Statement of Act'!$G277/12</f>
        <v>0</v>
      </c>
      <c r="I275" s="364">
        <f>+'Yr 1 Operating Statement of Act'!$G277/12</f>
        <v>0</v>
      </c>
      <c r="J275" s="364">
        <f>+'Yr 1 Operating Statement of Act'!$G277/12</f>
        <v>0</v>
      </c>
      <c r="K275" s="364">
        <f>+'Yr 1 Operating Statement of Act'!$G277/12</f>
        <v>0</v>
      </c>
      <c r="L275" s="364">
        <f>+'Yr 1 Operating Statement of Act'!$G277/12</f>
        <v>0</v>
      </c>
      <c r="M275" s="364">
        <f>+'Yr 1 Operating Statement of Act'!$G277/12</f>
        <v>0</v>
      </c>
      <c r="N275" s="364">
        <f>+'Yr 1 Operating Statement of Act'!$G277/12</f>
        <v>0</v>
      </c>
      <c r="O275" s="364">
        <f>+'Yr 1 Operating Statement of Act'!$G277/12</f>
        <v>0</v>
      </c>
      <c r="P275" s="364">
        <f>+'Yr 1 Operating Statement of Act'!$G277/12</f>
        <v>0</v>
      </c>
      <c r="Q275" s="364">
        <f>+'Yr 1 Operating Statement of Act'!$G277/12</f>
        <v>0</v>
      </c>
      <c r="R275" s="364">
        <f>+'Yr 1 Operating Statement of Act'!$G277/12</f>
        <v>0</v>
      </c>
      <c r="S275" s="365">
        <f>+'Yr 1 Operating Statement of Act'!$G277/12</f>
        <v>0</v>
      </c>
      <c r="T275" s="365">
        <f t="shared" si="55"/>
        <v>0</v>
      </c>
      <c r="U275" s="365"/>
      <c r="V275" s="365">
        <f t="shared" si="56"/>
        <v>0</v>
      </c>
    </row>
    <row r="276" spans="1:22" x14ac:dyDescent="0.2">
      <c r="A276" s="3" t="s">
        <v>440</v>
      </c>
      <c r="B276" s="225">
        <v>210</v>
      </c>
      <c r="C276" s="37"/>
      <c r="D276" s="10" t="s">
        <v>100</v>
      </c>
      <c r="E276" s="10"/>
      <c r="F276" s="19" t="s">
        <v>101</v>
      </c>
      <c r="G276" s="159" t="s">
        <v>245</v>
      </c>
      <c r="H276" s="363">
        <f>+'Yr 1 Operating Statement of Act'!$G278/12</f>
        <v>0</v>
      </c>
      <c r="I276" s="364">
        <f>+'Yr 1 Operating Statement of Act'!$G278/12</f>
        <v>0</v>
      </c>
      <c r="J276" s="364">
        <f>+'Yr 1 Operating Statement of Act'!$G278/12</f>
        <v>0</v>
      </c>
      <c r="K276" s="364">
        <f>+'Yr 1 Operating Statement of Act'!$G278/12</f>
        <v>0</v>
      </c>
      <c r="L276" s="364">
        <f>+'Yr 1 Operating Statement of Act'!$G278/12</f>
        <v>0</v>
      </c>
      <c r="M276" s="364">
        <f>+'Yr 1 Operating Statement of Act'!$G278/12</f>
        <v>0</v>
      </c>
      <c r="N276" s="364">
        <f>+'Yr 1 Operating Statement of Act'!$G278/12</f>
        <v>0</v>
      </c>
      <c r="O276" s="364">
        <f>+'Yr 1 Operating Statement of Act'!$G278/12</f>
        <v>0</v>
      </c>
      <c r="P276" s="364">
        <f>+'Yr 1 Operating Statement of Act'!$G278/12</f>
        <v>0</v>
      </c>
      <c r="Q276" s="364">
        <f>+'Yr 1 Operating Statement of Act'!$G278/12</f>
        <v>0</v>
      </c>
      <c r="R276" s="364">
        <f>+'Yr 1 Operating Statement of Act'!$G278/12</f>
        <v>0</v>
      </c>
      <c r="S276" s="365">
        <f>+'Yr 1 Operating Statement of Act'!$G278/12</f>
        <v>0</v>
      </c>
      <c r="T276" s="365">
        <f t="shared" si="55"/>
        <v>0</v>
      </c>
      <c r="U276" s="365"/>
      <c r="V276" s="365">
        <f t="shared" si="56"/>
        <v>0</v>
      </c>
    </row>
    <row r="277" spans="1:22" x14ac:dyDescent="0.2">
      <c r="A277" s="3" t="s">
        <v>440</v>
      </c>
      <c r="B277" s="225">
        <v>211</v>
      </c>
      <c r="C277" s="37"/>
      <c r="D277" s="10" t="s">
        <v>219</v>
      </c>
      <c r="E277" s="10"/>
      <c r="F277" s="19" t="s">
        <v>220</v>
      </c>
      <c r="G277" s="159" t="s">
        <v>245</v>
      </c>
      <c r="H277" s="363">
        <f>+'Yr 1 Operating Statement of Act'!$G279/12</f>
        <v>0</v>
      </c>
      <c r="I277" s="364">
        <f>+'Yr 1 Operating Statement of Act'!$G279/12</f>
        <v>0</v>
      </c>
      <c r="J277" s="364">
        <f>+'Yr 1 Operating Statement of Act'!$G279/12</f>
        <v>0</v>
      </c>
      <c r="K277" s="364">
        <f>+'Yr 1 Operating Statement of Act'!$G279/12</f>
        <v>0</v>
      </c>
      <c r="L277" s="364">
        <f>+'Yr 1 Operating Statement of Act'!$G279/12</f>
        <v>0</v>
      </c>
      <c r="M277" s="364">
        <f>+'Yr 1 Operating Statement of Act'!$G279/12</f>
        <v>0</v>
      </c>
      <c r="N277" s="364">
        <f>+'Yr 1 Operating Statement of Act'!$G279/12</f>
        <v>0</v>
      </c>
      <c r="O277" s="364">
        <f>+'Yr 1 Operating Statement of Act'!$G279/12</f>
        <v>0</v>
      </c>
      <c r="P277" s="364">
        <f>+'Yr 1 Operating Statement of Act'!$G279/12</f>
        <v>0</v>
      </c>
      <c r="Q277" s="364">
        <f>+'Yr 1 Operating Statement of Act'!$G279/12</f>
        <v>0</v>
      </c>
      <c r="R277" s="364">
        <f>+'Yr 1 Operating Statement of Act'!$G279/12</f>
        <v>0</v>
      </c>
      <c r="S277" s="365">
        <f>+'Yr 1 Operating Statement of Act'!$G279/12</f>
        <v>0</v>
      </c>
      <c r="T277" s="365">
        <f t="shared" si="55"/>
        <v>0</v>
      </c>
      <c r="U277" s="365"/>
      <c r="V277" s="365">
        <f t="shared" si="56"/>
        <v>0</v>
      </c>
    </row>
    <row r="278" spans="1:22" x14ac:dyDescent="0.2">
      <c r="A278" s="3" t="s">
        <v>440</v>
      </c>
      <c r="B278" s="225">
        <v>212</v>
      </c>
      <c r="C278" s="37"/>
      <c r="D278" s="10" t="s">
        <v>102</v>
      </c>
      <c r="E278" s="10"/>
      <c r="F278" s="19" t="s">
        <v>103</v>
      </c>
      <c r="G278" s="159" t="s">
        <v>245</v>
      </c>
      <c r="H278" s="363">
        <f>+'Yr 1 Operating Statement of Act'!$G280/12</f>
        <v>0</v>
      </c>
      <c r="I278" s="364">
        <f>+'Yr 1 Operating Statement of Act'!$G280/12</f>
        <v>0</v>
      </c>
      <c r="J278" s="364">
        <f>+'Yr 1 Operating Statement of Act'!$G280/12</f>
        <v>0</v>
      </c>
      <c r="K278" s="364">
        <f>+'Yr 1 Operating Statement of Act'!$G280/12</f>
        <v>0</v>
      </c>
      <c r="L278" s="364">
        <f>+'Yr 1 Operating Statement of Act'!$G280/12</f>
        <v>0</v>
      </c>
      <c r="M278" s="364">
        <f>+'Yr 1 Operating Statement of Act'!$G280/12</f>
        <v>0</v>
      </c>
      <c r="N278" s="364">
        <f>+'Yr 1 Operating Statement of Act'!$G280/12</f>
        <v>0</v>
      </c>
      <c r="O278" s="364">
        <f>+'Yr 1 Operating Statement of Act'!$G280/12</f>
        <v>0</v>
      </c>
      <c r="P278" s="364">
        <f>+'Yr 1 Operating Statement of Act'!$G280/12</f>
        <v>0</v>
      </c>
      <c r="Q278" s="364">
        <f>+'Yr 1 Operating Statement of Act'!$G280/12</f>
        <v>0</v>
      </c>
      <c r="R278" s="364">
        <f>+'Yr 1 Operating Statement of Act'!$G280/12</f>
        <v>0</v>
      </c>
      <c r="S278" s="365">
        <f>+'Yr 1 Operating Statement of Act'!$G280/12</f>
        <v>0</v>
      </c>
      <c r="T278" s="365">
        <f t="shared" si="55"/>
        <v>0</v>
      </c>
      <c r="U278" s="365"/>
      <c r="V278" s="365">
        <f t="shared" si="56"/>
        <v>0</v>
      </c>
    </row>
    <row r="279" spans="1:22" x14ac:dyDescent="0.2">
      <c r="A279" s="3" t="s">
        <v>440</v>
      </c>
      <c r="B279" s="225">
        <v>213</v>
      </c>
      <c r="C279" s="37"/>
      <c r="D279" s="10" t="s">
        <v>104</v>
      </c>
      <c r="E279" s="10"/>
      <c r="F279" s="19" t="s">
        <v>105</v>
      </c>
      <c r="G279" s="159" t="s">
        <v>245</v>
      </c>
      <c r="H279" s="363">
        <f>+'Yr 1 Operating Statement of Act'!G281</f>
        <v>0</v>
      </c>
      <c r="I279" s="364"/>
      <c r="J279" s="364"/>
      <c r="K279" s="364"/>
      <c r="L279" s="364"/>
      <c r="M279" s="364"/>
      <c r="N279" s="364"/>
      <c r="O279" s="364"/>
      <c r="P279" s="364"/>
      <c r="Q279" s="364"/>
      <c r="R279" s="364"/>
      <c r="S279" s="365"/>
      <c r="T279" s="365">
        <f t="shared" si="55"/>
        <v>0</v>
      </c>
      <c r="U279" s="365"/>
      <c r="V279" s="365">
        <f t="shared" si="56"/>
        <v>0</v>
      </c>
    </row>
    <row r="280" spans="1:22" x14ac:dyDescent="0.2">
      <c r="A280" s="3" t="s">
        <v>440</v>
      </c>
      <c r="B280" s="225">
        <v>214</v>
      </c>
      <c r="C280" s="37"/>
      <c r="D280" s="86" t="s">
        <v>283</v>
      </c>
      <c r="E280" s="10"/>
      <c r="F280" s="19"/>
      <c r="G280" s="159"/>
      <c r="H280" s="363"/>
      <c r="I280" s="364"/>
      <c r="J280" s="364"/>
      <c r="K280" s="364"/>
      <c r="L280" s="364"/>
      <c r="M280" s="364"/>
      <c r="N280" s="364"/>
      <c r="O280" s="364"/>
      <c r="P280" s="364"/>
      <c r="Q280" s="364"/>
      <c r="R280" s="364"/>
      <c r="S280" s="365"/>
      <c r="T280" s="365">
        <f t="shared" si="55"/>
        <v>0</v>
      </c>
      <c r="U280" s="365"/>
      <c r="V280" s="365">
        <f t="shared" si="56"/>
        <v>0</v>
      </c>
    </row>
    <row r="281" spans="1:22" x14ac:dyDescent="0.2">
      <c r="A281" s="3" t="s">
        <v>440</v>
      </c>
      <c r="B281" s="225">
        <v>215</v>
      </c>
      <c r="C281" s="37"/>
      <c r="D281" s="86"/>
      <c r="E281" s="10"/>
      <c r="F281" s="19"/>
      <c r="G281" s="159"/>
      <c r="H281" s="363"/>
      <c r="I281" s="364"/>
      <c r="J281" s="364"/>
      <c r="K281" s="364"/>
      <c r="L281" s="364"/>
      <c r="M281" s="364"/>
      <c r="N281" s="364"/>
      <c r="O281" s="364"/>
      <c r="P281" s="364"/>
      <c r="Q281" s="364"/>
      <c r="R281" s="364"/>
      <c r="S281" s="365"/>
      <c r="T281" s="365">
        <f t="shared" si="55"/>
        <v>0</v>
      </c>
      <c r="U281" s="365"/>
      <c r="V281" s="365">
        <f t="shared" si="56"/>
        <v>0</v>
      </c>
    </row>
    <row r="282" spans="1:22" x14ac:dyDescent="0.2">
      <c r="A282" s="3" t="s">
        <v>440</v>
      </c>
      <c r="B282" s="225">
        <v>216</v>
      </c>
      <c r="C282" s="37"/>
      <c r="D282" s="10"/>
      <c r="E282" s="10"/>
      <c r="F282" s="19"/>
      <c r="G282" s="159"/>
      <c r="H282" s="363"/>
      <c r="I282" s="364"/>
      <c r="J282" s="364"/>
      <c r="K282" s="364"/>
      <c r="L282" s="364"/>
      <c r="M282" s="364"/>
      <c r="N282" s="364"/>
      <c r="O282" s="364"/>
      <c r="P282" s="364"/>
      <c r="Q282" s="364"/>
      <c r="R282" s="364"/>
      <c r="S282" s="365"/>
      <c r="T282" s="365">
        <f t="shared" si="55"/>
        <v>0</v>
      </c>
      <c r="U282" s="365"/>
      <c r="V282" s="365">
        <f t="shared" si="56"/>
        <v>0</v>
      </c>
    </row>
    <row r="283" spans="1:22" ht="15" x14ac:dyDescent="0.25">
      <c r="A283" s="3" t="s">
        <v>440</v>
      </c>
      <c r="B283" s="226">
        <v>217</v>
      </c>
      <c r="C283" s="88" t="s">
        <v>175</v>
      </c>
      <c r="D283" s="52"/>
      <c r="E283" s="52"/>
      <c r="F283" s="50"/>
      <c r="G283" s="163"/>
      <c r="H283" s="372">
        <f t="shared" ref="H283:U283" si="57">SUM(H254:H282)</f>
        <v>9867.7123957695694</v>
      </c>
      <c r="I283" s="373">
        <f t="shared" si="57"/>
        <v>9867.7123957695694</v>
      </c>
      <c r="J283" s="373">
        <f t="shared" si="57"/>
        <v>14754.076032133207</v>
      </c>
      <c r="K283" s="373">
        <f t="shared" si="57"/>
        <v>14265.439668496843</v>
      </c>
      <c r="L283" s="373">
        <f t="shared" si="57"/>
        <v>14509.757850315025</v>
      </c>
      <c r="M283" s="373">
        <f t="shared" si="57"/>
        <v>13776.803304860479</v>
      </c>
      <c r="N283" s="373">
        <f t="shared" si="57"/>
        <v>12799.530577587751</v>
      </c>
      <c r="O283" s="373">
        <f t="shared" si="57"/>
        <v>14754.076032133207</v>
      </c>
      <c r="P283" s="373">
        <f t="shared" si="57"/>
        <v>35404.076032133205</v>
      </c>
      <c r="Q283" s="373">
        <f t="shared" si="57"/>
        <v>13043.848759405933</v>
      </c>
      <c r="R283" s="373">
        <f t="shared" si="57"/>
        <v>14998.394213951387</v>
      </c>
      <c r="S283" s="374">
        <f t="shared" si="57"/>
        <v>14021.121486678661</v>
      </c>
      <c r="T283" s="374">
        <f t="shared" si="57"/>
        <v>182062.54874923485</v>
      </c>
      <c r="U283" s="374">
        <f t="shared" si="57"/>
        <v>0</v>
      </c>
      <c r="V283" s="374">
        <f t="shared" si="56"/>
        <v>182062.54874923485</v>
      </c>
    </row>
    <row r="284" spans="1:22" x14ac:dyDescent="0.2">
      <c r="A284" s="3" t="s">
        <v>440</v>
      </c>
      <c r="B284" s="225"/>
      <c r="C284" s="37"/>
      <c r="D284" s="10"/>
      <c r="E284" s="10"/>
      <c r="F284" s="62"/>
      <c r="G284" s="158"/>
      <c r="H284" s="378"/>
      <c r="I284" s="366"/>
      <c r="J284" s="366"/>
      <c r="K284" s="366"/>
      <c r="L284" s="366"/>
      <c r="M284" s="366"/>
      <c r="N284" s="366"/>
      <c r="O284" s="366"/>
      <c r="P284" s="366"/>
      <c r="Q284" s="366"/>
      <c r="R284" s="366"/>
      <c r="S284" s="379"/>
      <c r="T284" s="379"/>
      <c r="U284" s="379"/>
      <c r="V284" s="379"/>
    </row>
    <row r="285" spans="1:22" s="5" customFormat="1" ht="15" x14ac:dyDescent="0.25">
      <c r="A285" s="3" t="s">
        <v>440</v>
      </c>
      <c r="B285" s="225"/>
      <c r="C285" s="89" t="s">
        <v>29</v>
      </c>
      <c r="D285" s="54"/>
      <c r="E285" s="54"/>
      <c r="F285" s="78"/>
      <c r="G285" s="170"/>
      <c r="H285" s="391"/>
      <c r="I285" s="392"/>
      <c r="J285" s="392"/>
      <c r="K285" s="392"/>
      <c r="L285" s="392"/>
      <c r="M285" s="392"/>
      <c r="N285" s="392"/>
      <c r="O285" s="392"/>
      <c r="P285" s="392"/>
      <c r="Q285" s="392"/>
      <c r="R285" s="392"/>
      <c r="S285" s="393"/>
      <c r="T285" s="393"/>
      <c r="U285" s="393"/>
      <c r="V285" s="379"/>
    </row>
    <row r="286" spans="1:22" x14ac:dyDescent="0.2">
      <c r="A286" s="3" t="s">
        <v>440</v>
      </c>
      <c r="B286" s="225">
        <v>218</v>
      </c>
      <c r="C286" s="37"/>
      <c r="D286" s="10" t="s">
        <v>83</v>
      </c>
      <c r="E286" s="10"/>
      <c r="F286" s="19" t="s">
        <v>246</v>
      </c>
      <c r="G286" s="159" t="s">
        <v>247</v>
      </c>
      <c r="H286" s="363">
        <f>+'Yr 1 Operating Statement of Act'!G288</f>
        <v>0</v>
      </c>
      <c r="I286" s="364"/>
      <c r="J286" s="364"/>
      <c r="K286" s="364"/>
      <c r="L286" s="364"/>
      <c r="M286" s="364"/>
      <c r="N286" s="364"/>
      <c r="O286" s="364"/>
      <c r="P286" s="364"/>
      <c r="Q286" s="364"/>
      <c r="R286" s="364"/>
      <c r="S286" s="365"/>
      <c r="T286" s="365">
        <f>SUM(H286:S286)</f>
        <v>0</v>
      </c>
      <c r="U286" s="365"/>
      <c r="V286" s="365">
        <f t="shared" si="56"/>
        <v>0</v>
      </c>
    </row>
    <row r="287" spans="1:22" x14ac:dyDescent="0.2">
      <c r="A287" s="3" t="s">
        <v>440</v>
      </c>
      <c r="B287" s="225"/>
      <c r="C287" s="37"/>
      <c r="D287" s="10" t="s">
        <v>176</v>
      </c>
      <c r="E287" s="10"/>
      <c r="F287" s="62"/>
      <c r="G287" s="158"/>
      <c r="H287" s="378"/>
      <c r="I287" s="366"/>
      <c r="J287" s="366"/>
      <c r="K287" s="366"/>
      <c r="L287" s="366"/>
      <c r="M287" s="366"/>
      <c r="N287" s="366"/>
      <c r="O287" s="366"/>
      <c r="P287" s="366"/>
      <c r="Q287" s="366"/>
      <c r="R287" s="366"/>
      <c r="S287" s="379"/>
      <c r="T287" s="379"/>
      <c r="U287" s="379"/>
      <c r="V287" s="379"/>
    </row>
    <row r="288" spans="1:22" x14ac:dyDescent="0.2">
      <c r="A288" s="3" t="s">
        <v>440</v>
      </c>
      <c r="B288" s="225">
        <v>219</v>
      </c>
      <c r="C288" s="37"/>
      <c r="D288" s="10" t="s">
        <v>33</v>
      </c>
      <c r="E288" s="10" t="s">
        <v>299</v>
      </c>
      <c r="F288" s="19" t="s">
        <v>222</v>
      </c>
      <c r="G288" s="159" t="s">
        <v>247</v>
      </c>
      <c r="H288" s="363">
        <f>+'Yr 1 Operating Statement of Act'!G290</f>
        <v>0</v>
      </c>
      <c r="I288" s="364"/>
      <c r="J288" s="364"/>
      <c r="K288" s="364"/>
      <c r="L288" s="364"/>
      <c r="M288" s="364"/>
      <c r="N288" s="364"/>
      <c r="O288" s="364"/>
      <c r="P288" s="364"/>
      <c r="Q288" s="364"/>
      <c r="R288" s="364"/>
      <c r="S288" s="365"/>
      <c r="T288" s="365">
        <f t="shared" ref="T288:T304" si="58">SUM(H288:S288)</f>
        <v>0</v>
      </c>
      <c r="U288" s="365"/>
      <c r="V288" s="365">
        <f t="shared" si="56"/>
        <v>0</v>
      </c>
    </row>
    <row r="289" spans="1:22" x14ac:dyDescent="0.2">
      <c r="A289" s="3" t="s">
        <v>440</v>
      </c>
      <c r="B289" s="225">
        <v>220</v>
      </c>
      <c r="C289" s="37"/>
      <c r="D289" s="10"/>
      <c r="E289" s="10" t="s">
        <v>85</v>
      </c>
      <c r="F289" s="19" t="s">
        <v>86</v>
      </c>
      <c r="G289" s="159" t="s">
        <v>177</v>
      </c>
      <c r="H289" s="363">
        <f>+'Yr 1 Operating Statement of Act'!G291</f>
        <v>0</v>
      </c>
      <c r="I289" s="364"/>
      <c r="J289" s="364"/>
      <c r="K289" s="364"/>
      <c r="L289" s="364"/>
      <c r="M289" s="364"/>
      <c r="N289" s="364"/>
      <c r="O289" s="364"/>
      <c r="P289" s="364"/>
      <c r="Q289" s="364"/>
      <c r="R289" s="364"/>
      <c r="S289" s="365"/>
      <c r="T289" s="365">
        <f t="shared" si="58"/>
        <v>0</v>
      </c>
      <c r="U289" s="365"/>
      <c r="V289" s="365">
        <f t="shared" si="56"/>
        <v>0</v>
      </c>
    </row>
    <row r="290" spans="1:22" x14ac:dyDescent="0.2">
      <c r="A290" s="3" t="s">
        <v>440</v>
      </c>
      <c r="B290" s="225">
        <v>221</v>
      </c>
      <c r="C290" s="37"/>
      <c r="D290" s="10"/>
      <c r="E290" s="10" t="s">
        <v>178</v>
      </c>
      <c r="F290" s="19" t="s">
        <v>179</v>
      </c>
      <c r="G290" s="159" t="s">
        <v>177</v>
      </c>
      <c r="H290" s="363">
        <f>+'Yr 1 Operating Statement of Act'!$G292*0</f>
        <v>0</v>
      </c>
      <c r="I290" s="364">
        <f>+'Yr 1 Operating Statement of Act'!$G292*0</f>
        <v>0</v>
      </c>
      <c r="J290" s="364">
        <f>+'Yr 1 Operating Statement of Act'!$G292*'KIPP Assumptions'!$C$118</f>
        <v>20919.421487603307</v>
      </c>
      <c r="K290" s="364">
        <f>+'Yr 1 Operating Statement of Act'!$G292*'KIPP Assumptions'!$C$119</f>
        <v>18827.479338842979</v>
      </c>
      <c r="L290" s="364">
        <f>+'Yr 1 Operating Statement of Act'!$G292*'KIPP Assumptions'!$C$120</f>
        <v>19873.450413223145</v>
      </c>
      <c r="M290" s="364">
        <f>+'Yr 1 Operating Statement of Act'!$G292*'KIPP Assumptions'!$C$121</f>
        <v>16735.537190082647</v>
      </c>
      <c r="N290" s="364">
        <f>+'Yr 1 Operating Statement of Act'!$G292*'KIPP Assumptions'!$C$122</f>
        <v>12551.652892561984</v>
      </c>
      <c r="O290" s="364">
        <f>+'Yr 1 Operating Statement of Act'!$G292*'KIPP Assumptions'!$C$123</f>
        <v>20919.421487603307</v>
      </c>
      <c r="P290" s="364">
        <f>+'Yr 1 Operating Statement of Act'!$G292*'KIPP Assumptions'!$C$124</f>
        <v>20919.421487603307</v>
      </c>
      <c r="Q290" s="364">
        <f>+'Yr 1 Operating Statement of Act'!$G292*'KIPP Assumptions'!$C$125</f>
        <v>13597.623966942152</v>
      </c>
      <c r="R290" s="364">
        <f>+'Yr 1 Operating Statement of Act'!$G292*'KIPP Assumptions'!$C$126</f>
        <v>21965.392561983474</v>
      </c>
      <c r="S290" s="365">
        <f>+'Yr 1 Operating Statement of Act'!$G292*'KIPP Assumptions'!$C$127</f>
        <v>17781.508264462813</v>
      </c>
      <c r="T290" s="365">
        <f t="shared" si="58"/>
        <v>184090.90909090912</v>
      </c>
      <c r="U290" s="365"/>
      <c r="V290" s="365">
        <f t="shared" si="56"/>
        <v>184090.90909090912</v>
      </c>
    </row>
    <row r="291" spans="1:22" x14ac:dyDescent="0.2">
      <c r="A291" s="3" t="s">
        <v>440</v>
      </c>
      <c r="B291" s="225">
        <v>222</v>
      </c>
      <c r="C291" s="37"/>
      <c r="D291" s="10"/>
      <c r="E291" s="10" t="s">
        <v>113</v>
      </c>
      <c r="F291" s="19" t="s">
        <v>114</v>
      </c>
      <c r="G291" s="159" t="s">
        <v>177</v>
      </c>
      <c r="H291" s="363">
        <f>+'Yr 1 Operating Statement of Act'!G293</f>
        <v>0</v>
      </c>
      <c r="I291" s="364"/>
      <c r="J291" s="364"/>
      <c r="K291" s="364"/>
      <c r="L291" s="364"/>
      <c r="M291" s="364"/>
      <c r="N291" s="364"/>
      <c r="O291" s="364"/>
      <c r="P291" s="364"/>
      <c r="Q291" s="364"/>
      <c r="R291" s="364"/>
      <c r="S291" s="365"/>
      <c r="T291" s="365">
        <f t="shared" si="58"/>
        <v>0</v>
      </c>
      <c r="U291" s="365"/>
      <c r="V291" s="365">
        <f t="shared" si="56"/>
        <v>0</v>
      </c>
    </row>
    <row r="292" spans="1:22" x14ac:dyDescent="0.2">
      <c r="A292" s="3" t="s">
        <v>440</v>
      </c>
      <c r="B292" s="225">
        <v>223</v>
      </c>
      <c r="C292" s="37"/>
      <c r="D292" s="10"/>
      <c r="E292" s="10" t="s">
        <v>110</v>
      </c>
      <c r="F292" s="19" t="s">
        <v>90</v>
      </c>
      <c r="G292" s="159" t="s">
        <v>177</v>
      </c>
      <c r="H292" s="363">
        <f>+'Yr 1 Operating Statement of Act'!G294</f>
        <v>0</v>
      </c>
      <c r="I292" s="364"/>
      <c r="J292" s="364"/>
      <c r="K292" s="364"/>
      <c r="L292" s="364"/>
      <c r="M292" s="364"/>
      <c r="N292" s="364"/>
      <c r="O292" s="364"/>
      <c r="P292" s="364"/>
      <c r="Q292" s="364"/>
      <c r="R292" s="364"/>
      <c r="S292" s="365"/>
      <c r="T292" s="365">
        <f t="shared" si="58"/>
        <v>0</v>
      </c>
      <c r="U292" s="365"/>
      <c r="V292" s="365">
        <f t="shared" si="56"/>
        <v>0</v>
      </c>
    </row>
    <row r="293" spans="1:22" x14ac:dyDescent="0.2">
      <c r="A293" s="3" t="s">
        <v>440</v>
      </c>
      <c r="B293" s="225">
        <v>224</v>
      </c>
      <c r="C293" s="37"/>
      <c r="D293" s="10"/>
      <c r="E293" s="10" t="s">
        <v>180</v>
      </c>
      <c r="F293" s="19" t="s">
        <v>115</v>
      </c>
      <c r="G293" s="159" t="s">
        <v>177</v>
      </c>
      <c r="H293" s="363">
        <f>+'Yr 1 Operating Statement of Act'!G295</f>
        <v>0</v>
      </c>
      <c r="I293" s="364"/>
      <c r="J293" s="364"/>
      <c r="K293" s="364"/>
      <c r="L293" s="364"/>
      <c r="M293" s="364"/>
      <c r="N293" s="364"/>
      <c r="O293" s="364"/>
      <c r="P293" s="364"/>
      <c r="Q293" s="364"/>
      <c r="R293" s="364"/>
      <c r="S293" s="365"/>
      <c r="T293" s="365">
        <f t="shared" si="58"/>
        <v>0</v>
      </c>
      <c r="U293" s="365"/>
      <c r="V293" s="365">
        <f t="shared" si="56"/>
        <v>0</v>
      </c>
    </row>
    <row r="294" spans="1:22" x14ac:dyDescent="0.2">
      <c r="A294" s="3" t="s">
        <v>440</v>
      </c>
      <c r="B294" s="225">
        <v>225</v>
      </c>
      <c r="C294" s="37"/>
      <c r="D294" s="10"/>
      <c r="E294" s="10" t="s">
        <v>93</v>
      </c>
      <c r="F294" s="19" t="s">
        <v>94</v>
      </c>
      <c r="G294" s="159" t="s">
        <v>177</v>
      </c>
      <c r="H294" s="363">
        <f>+'Yr 1 Operating Statement of Act'!G296</f>
        <v>0</v>
      </c>
      <c r="I294" s="364"/>
      <c r="J294" s="364"/>
      <c r="K294" s="364"/>
      <c r="L294" s="364"/>
      <c r="M294" s="364"/>
      <c r="N294" s="364"/>
      <c r="O294" s="364"/>
      <c r="P294" s="364"/>
      <c r="Q294" s="364"/>
      <c r="R294" s="364"/>
      <c r="S294" s="365"/>
      <c r="T294" s="365">
        <f t="shared" si="58"/>
        <v>0</v>
      </c>
      <c r="U294" s="365"/>
      <c r="V294" s="365">
        <f t="shared" si="56"/>
        <v>0</v>
      </c>
    </row>
    <row r="295" spans="1:22" x14ac:dyDescent="0.2">
      <c r="A295" s="3" t="s">
        <v>440</v>
      </c>
      <c r="B295" s="225">
        <v>226</v>
      </c>
      <c r="C295" s="37"/>
      <c r="D295" s="10"/>
      <c r="E295" s="10" t="s">
        <v>95</v>
      </c>
      <c r="F295" s="19" t="s">
        <v>96</v>
      </c>
      <c r="G295" s="159" t="s">
        <v>177</v>
      </c>
      <c r="H295" s="363">
        <f>+'Yr 1 Operating Statement of Act'!G297</f>
        <v>0</v>
      </c>
      <c r="I295" s="364"/>
      <c r="J295" s="364"/>
      <c r="K295" s="364"/>
      <c r="L295" s="364"/>
      <c r="M295" s="364"/>
      <c r="N295" s="364"/>
      <c r="O295" s="364"/>
      <c r="P295" s="364"/>
      <c r="Q295" s="364"/>
      <c r="R295" s="364"/>
      <c r="S295" s="365"/>
      <c r="T295" s="365">
        <f t="shared" si="58"/>
        <v>0</v>
      </c>
      <c r="U295" s="365"/>
      <c r="V295" s="365">
        <f t="shared" si="56"/>
        <v>0</v>
      </c>
    </row>
    <row r="296" spans="1:22" x14ac:dyDescent="0.2">
      <c r="A296" s="3" t="s">
        <v>440</v>
      </c>
      <c r="B296" s="225">
        <v>227</v>
      </c>
      <c r="C296" s="37"/>
      <c r="D296" s="10"/>
      <c r="E296" s="10" t="s">
        <v>295</v>
      </c>
      <c r="F296" s="19" t="s">
        <v>97</v>
      </c>
      <c r="G296" s="159" t="s">
        <v>247</v>
      </c>
      <c r="H296" s="363">
        <f>+'Yr 1 Operating Statement of Act'!G298</f>
        <v>0</v>
      </c>
      <c r="I296" s="364"/>
      <c r="J296" s="364"/>
      <c r="K296" s="364"/>
      <c r="L296" s="364"/>
      <c r="M296" s="364"/>
      <c r="N296" s="364"/>
      <c r="O296" s="364"/>
      <c r="P296" s="364"/>
      <c r="Q296" s="364"/>
      <c r="R296" s="364"/>
      <c r="S296" s="365"/>
      <c r="T296" s="365">
        <f t="shared" si="58"/>
        <v>0</v>
      </c>
      <c r="U296" s="365"/>
      <c r="V296" s="365">
        <f t="shared" si="56"/>
        <v>0</v>
      </c>
    </row>
    <row r="297" spans="1:22" x14ac:dyDescent="0.2">
      <c r="A297" s="3" t="s">
        <v>440</v>
      </c>
      <c r="B297" s="225">
        <v>228</v>
      </c>
      <c r="C297" s="37"/>
      <c r="D297" s="10"/>
      <c r="E297" s="10" t="s">
        <v>98</v>
      </c>
      <c r="F297" s="19" t="s">
        <v>99</v>
      </c>
      <c r="G297" s="159" t="s">
        <v>247</v>
      </c>
      <c r="H297" s="363">
        <f>+'Yr 1 Operating Statement of Act'!G299</f>
        <v>0</v>
      </c>
      <c r="I297" s="364"/>
      <c r="J297" s="364"/>
      <c r="K297" s="364"/>
      <c r="L297" s="364"/>
      <c r="M297" s="364"/>
      <c r="N297" s="364"/>
      <c r="O297" s="364"/>
      <c r="P297" s="364"/>
      <c r="Q297" s="364"/>
      <c r="R297" s="364"/>
      <c r="S297" s="365"/>
      <c r="T297" s="365">
        <f t="shared" si="58"/>
        <v>0</v>
      </c>
      <c r="U297" s="365"/>
      <c r="V297" s="365">
        <f t="shared" si="56"/>
        <v>0</v>
      </c>
    </row>
    <row r="298" spans="1:22" x14ac:dyDescent="0.2">
      <c r="A298" s="3" t="s">
        <v>440</v>
      </c>
      <c r="B298" s="225">
        <v>229</v>
      </c>
      <c r="C298" s="37"/>
      <c r="D298" s="10"/>
      <c r="E298" s="10" t="s">
        <v>100</v>
      </c>
      <c r="F298" s="19" t="s">
        <v>101</v>
      </c>
      <c r="G298" s="159" t="s">
        <v>247</v>
      </c>
      <c r="H298" s="363">
        <f>+'Yr 1 Operating Statement of Act'!G300</f>
        <v>0</v>
      </c>
      <c r="I298" s="364"/>
      <c r="J298" s="364"/>
      <c r="K298" s="364"/>
      <c r="L298" s="364"/>
      <c r="M298" s="364"/>
      <c r="N298" s="364"/>
      <c r="O298" s="364"/>
      <c r="P298" s="364"/>
      <c r="Q298" s="364"/>
      <c r="R298" s="364"/>
      <c r="S298" s="365"/>
      <c r="T298" s="365">
        <f t="shared" si="58"/>
        <v>0</v>
      </c>
      <c r="U298" s="365"/>
      <c r="V298" s="365">
        <f t="shared" si="56"/>
        <v>0</v>
      </c>
    </row>
    <row r="299" spans="1:22" x14ac:dyDescent="0.2">
      <c r="A299" s="3" t="s">
        <v>440</v>
      </c>
      <c r="B299" s="225">
        <v>230</v>
      </c>
      <c r="C299" s="37"/>
      <c r="D299" s="10"/>
      <c r="E299" s="10" t="s">
        <v>219</v>
      </c>
      <c r="F299" s="19" t="s">
        <v>220</v>
      </c>
      <c r="G299" s="159" t="s">
        <v>247</v>
      </c>
      <c r="H299" s="363">
        <f>+'Yr 1 Operating Statement of Act'!G301</f>
        <v>0</v>
      </c>
      <c r="I299" s="364"/>
      <c r="J299" s="364"/>
      <c r="K299" s="364"/>
      <c r="L299" s="364"/>
      <c r="M299" s="364"/>
      <c r="N299" s="364"/>
      <c r="O299" s="364"/>
      <c r="P299" s="364"/>
      <c r="Q299" s="364"/>
      <c r="R299" s="364"/>
      <c r="S299" s="365"/>
      <c r="T299" s="365">
        <f t="shared" si="58"/>
        <v>0</v>
      </c>
      <c r="U299" s="365"/>
      <c r="V299" s="365">
        <f t="shared" si="56"/>
        <v>0</v>
      </c>
    </row>
    <row r="300" spans="1:22" x14ac:dyDescent="0.2">
      <c r="A300" s="3" t="s">
        <v>440</v>
      </c>
      <c r="B300" s="225">
        <v>231</v>
      </c>
      <c r="C300" s="37"/>
      <c r="D300" s="10"/>
      <c r="E300" s="10" t="s">
        <v>102</v>
      </c>
      <c r="F300" s="19" t="s">
        <v>103</v>
      </c>
      <c r="G300" s="159" t="s">
        <v>247</v>
      </c>
      <c r="H300" s="363">
        <f>+'Yr 1 Operating Statement of Act'!G302</f>
        <v>0</v>
      </c>
      <c r="I300" s="364"/>
      <c r="J300" s="364"/>
      <c r="K300" s="364"/>
      <c r="L300" s="364"/>
      <c r="M300" s="364"/>
      <c r="N300" s="364"/>
      <c r="O300" s="364"/>
      <c r="P300" s="364"/>
      <c r="Q300" s="364"/>
      <c r="R300" s="364"/>
      <c r="S300" s="365"/>
      <c r="T300" s="365">
        <f t="shared" si="58"/>
        <v>0</v>
      </c>
      <c r="U300" s="365"/>
      <c r="V300" s="365">
        <f t="shared" si="56"/>
        <v>0</v>
      </c>
    </row>
    <row r="301" spans="1:22" x14ac:dyDescent="0.2">
      <c r="A301" s="3" t="s">
        <v>440</v>
      </c>
      <c r="B301" s="225">
        <v>232</v>
      </c>
      <c r="C301" s="37"/>
      <c r="D301" s="10"/>
      <c r="E301" s="10" t="s">
        <v>104</v>
      </c>
      <c r="F301" s="19" t="s">
        <v>105</v>
      </c>
      <c r="G301" s="159" t="s">
        <v>247</v>
      </c>
      <c r="H301" s="363">
        <f>+'Yr 1 Operating Statement of Act'!G303</f>
        <v>0</v>
      </c>
      <c r="I301" s="364"/>
      <c r="J301" s="364"/>
      <c r="K301" s="364"/>
      <c r="L301" s="364"/>
      <c r="M301" s="364"/>
      <c r="N301" s="364"/>
      <c r="O301" s="364"/>
      <c r="P301" s="364"/>
      <c r="Q301" s="364"/>
      <c r="R301" s="364"/>
      <c r="S301" s="365"/>
      <c r="T301" s="365">
        <f t="shared" si="58"/>
        <v>0</v>
      </c>
      <c r="U301" s="365"/>
      <c r="V301" s="365">
        <f t="shared" si="56"/>
        <v>0</v>
      </c>
    </row>
    <row r="302" spans="1:22" x14ac:dyDescent="0.2">
      <c r="A302" s="3" t="s">
        <v>440</v>
      </c>
      <c r="B302" s="225">
        <v>233</v>
      </c>
      <c r="C302" s="37"/>
      <c r="D302" s="86" t="s">
        <v>283</v>
      </c>
      <c r="E302" s="10"/>
      <c r="F302" s="19"/>
      <c r="G302" s="159"/>
      <c r="H302" s="363"/>
      <c r="I302" s="364"/>
      <c r="J302" s="364"/>
      <c r="K302" s="364"/>
      <c r="L302" s="364"/>
      <c r="M302" s="364"/>
      <c r="N302" s="364"/>
      <c r="O302" s="364"/>
      <c r="P302" s="364"/>
      <c r="Q302" s="364"/>
      <c r="R302" s="364"/>
      <c r="S302" s="365"/>
      <c r="T302" s="365">
        <f t="shared" si="58"/>
        <v>0</v>
      </c>
      <c r="U302" s="365"/>
      <c r="V302" s="365">
        <f t="shared" si="56"/>
        <v>0</v>
      </c>
    </row>
    <row r="303" spans="1:22" x14ac:dyDescent="0.2">
      <c r="A303" s="3" t="s">
        <v>440</v>
      </c>
      <c r="B303" s="225">
        <v>234</v>
      </c>
      <c r="C303" s="37"/>
      <c r="D303" s="86"/>
      <c r="E303" s="10"/>
      <c r="F303" s="19"/>
      <c r="G303" s="159"/>
      <c r="H303" s="363"/>
      <c r="I303" s="364"/>
      <c r="J303" s="364"/>
      <c r="K303" s="364"/>
      <c r="L303" s="364"/>
      <c r="M303" s="364"/>
      <c r="N303" s="364"/>
      <c r="O303" s="364"/>
      <c r="P303" s="364"/>
      <c r="Q303" s="364"/>
      <c r="R303" s="364"/>
      <c r="S303" s="365"/>
      <c r="T303" s="365">
        <f t="shared" si="58"/>
        <v>0</v>
      </c>
      <c r="U303" s="365"/>
      <c r="V303" s="365">
        <f t="shared" si="56"/>
        <v>0</v>
      </c>
    </row>
    <row r="304" spans="1:22" x14ac:dyDescent="0.2">
      <c r="A304" s="3" t="s">
        <v>440</v>
      </c>
      <c r="B304" s="225">
        <v>235</v>
      </c>
      <c r="C304" s="84"/>
      <c r="E304" s="14"/>
      <c r="F304" s="15"/>
      <c r="G304" s="167"/>
      <c r="H304" s="380"/>
      <c r="I304" s="381"/>
      <c r="J304" s="381"/>
      <c r="K304" s="381"/>
      <c r="L304" s="381"/>
      <c r="M304" s="381"/>
      <c r="N304" s="381"/>
      <c r="O304" s="381"/>
      <c r="P304" s="381"/>
      <c r="Q304" s="381"/>
      <c r="R304" s="381"/>
      <c r="S304" s="382"/>
      <c r="T304" s="365">
        <f t="shared" si="58"/>
        <v>0</v>
      </c>
      <c r="U304" s="365"/>
      <c r="V304" s="365">
        <f t="shared" si="56"/>
        <v>0</v>
      </c>
    </row>
    <row r="305" spans="1:22" ht="15" x14ac:dyDescent="0.25">
      <c r="A305" s="3" t="s">
        <v>440</v>
      </c>
      <c r="B305" s="226">
        <v>236</v>
      </c>
      <c r="C305" s="88" t="s">
        <v>181</v>
      </c>
      <c r="D305" s="52"/>
      <c r="E305" s="52"/>
      <c r="F305" s="50"/>
      <c r="G305" s="163"/>
      <c r="H305" s="372">
        <f t="shared" ref="H305:U305" si="59">SUM(H286:H304)</f>
        <v>0</v>
      </c>
      <c r="I305" s="373">
        <f t="shared" si="59"/>
        <v>0</v>
      </c>
      <c r="J305" s="373">
        <f t="shared" si="59"/>
        <v>20919.421487603307</v>
      </c>
      <c r="K305" s="373">
        <f t="shared" si="59"/>
        <v>18827.479338842979</v>
      </c>
      <c r="L305" s="373">
        <f t="shared" si="59"/>
        <v>19873.450413223145</v>
      </c>
      <c r="M305" s="373">
        <f t="shared" si="59"/>
        <v>16735.537190082647</v>
      </c>
      <c r="N305" s="373">
        <f t="shared" si="59"/>
        <v>12551.652892561984</v>
      </c>
      <c r="O305" s="373">
        <f t="shared" si="59"/>
        <v>20919.421487603307</v>
      </c>
      <c r="P305" s="373">
        <f t="shared" si="59"/>
        <v>20919.421487603307</v>
      </c>
      <c r="Q305" s="373">
        <f t="shared" si="59"/>
        <v>13597.623966942152</v>
      </c>
      <c r="R305" s="373">
        <f t="shared" si="59"/>
        <v>21965.392561983474</v>
      </c>
      <c r="S305" s="374">
        <f t="shared" si="59"/>
        <v>17781.508264462813</v>
      </c>
      <c r="T305" s="374">
        <f t="shared" si="59"/>
        <v>184090.90909090912</v>
      </c>
      <c r="U305" s="374">
        <f t="shared" si="59"/>
        <v>0</v>
      </c>
      <c r="V305" s="374">
        <f t="shared" si="56"/>
        <v>184090.90909090912</v>
      </c>
    </row>
    <row r="306" spans="1:22" x14ac:dyDescent="0.2">
      <c r="A306" s="3" t="s">
        <v>440</v>
      </c>
      <c r="B306" s="225"/>
      <c r="C306" s="36"/>
      <c r="D306" s="13"/>
      <c r="E306" s="13"/>
      <c r="F306" s="72"/>
      <c r="G306" s="157"/>
      <c r="H306" s="389"/>
      <c r="I306" s="371"/>
      <c r="J306" s="371"/>
      <c r="K306" s="371"/>
      <c r="L306" s="371"/>
      <c r="M306" s="371"/>
      <c r="N306" s="371"/>
      <c r="O306" s="371"/>
      <c r="P306" s="371"/>
      <c r="Q306" s="371"/>
      <c r="R306" s="371"/>
      <c r="S306" s="390"/>
      <c r="T306" s="390"/>
      <c r="U306" s="390"/>
      <c r="V306" s="379"/>
    </row>
    <row r="307" spans="1:22" s="5" customFormat="1" ht="15" x14ac:dyDescent="0.25">
      <c r="A307" s="3" t="s">
        <v>440</v>
      </c>
      <c r="B307" s="225"/>
      <c r="C307" s="89" t="s">
        <v>30</v>
      </c>
      <c r="D307" s="54"/>
      <c r="E307" s="54"/>
      <c r="F307" s="78"/>
      <c r="G307" s="170"/>
      <c r="H307" s="391"/>
      <c r="I307" s="392"/>
      <c r="J307" s="392"/>
      <c r="K307" s="392"/>
      <c r="L307" s="392"/>
      <c r="M307" s="392"/>
      <c r="N307" s="392"/>
      <c r="O307" s="392"/>
      <c r="P307" s="392"/>
      <c r="Q307" s="392"/>
      <c r="R307" s="392"/>
      <c r="S307" s="393"/>
      <c r="T307" s="393"/>
      <c r="U307" s="393"/>
      <c r="V307" s="393"/>
    </row>
    <row r="308" spans="1:22" ht="15" x14ac:dyDescent="0.25">
      <c r="A308" s="3" t="s">
        <v>440</v>
      </c>
      <c r="B308" s="225"/>
      <c r="C308" s="37"/>
      <c r="D308" s="107" t="s">
        <v>9</v>
      </c>
      <c r="E308" s="10"/>
      <c r="F308" s="78"/>
      <c r="G308" s="170"/>
      <c r="H308" s="378"/>
      <c r="I308" s="366"/>
      <c r="J308" s="366"/>
      <c r="K308" s="366"/>
      <c r="L308" s="366"/>
      <c r="M308" s="366"/>
      <c r="N308" s="366"/>
      <c r="O308" s="366"/>
      <c r="P308" s="366"/>
      <c r="Q308" s="366"/>
      <c r="R308" s="366"/>
      <c r="S308" s="379"/>
      <c r="T308" s="379"/>
      <c r="U308" s="379"/>
      <c r="V308" s="379"/>
    </row>
    <row r="309" spans="1:22" x14ac:dyDescent="0.2">
      <c r="A309" s="3" t="s">
        <v>440</v>
      </c>
      <c r="B309" s="225">
        <v>237</v>
      </c>
      <c r="C309" s="37"/>
      <c r="D309" s="10"/>
      <c r="E309" s="10" t="s">
        <v>83</v>
      </c>
      <c r="F309" s="19" t="s">
        <v>84</v>
      </c>
      <c r="G309" s="159" t="s">
        <v>226</v>
      </c>
      <c r="H309" s="363">
        <f>+'Yr 1 Operating Statement of Act'!$G311/12</f>
        <v>1125</v>
      </c>
      <c r="I309" s="364">
        <f>+'Yr 1 Operating Statement of Act'!$G311/12</f>
        <v>1125</v>
      </c>
      <c r="J309" s="364">
        <f>+'Yr 1 Operating Statement of Act'!$G311/12</f>
        <v>1125</v>
      </c>
      <c r="K309" s="364">
        <f>+'Yr 1 Operating Statement of Act'!$G311/12</f>
        <v>1125</v>
      </c>
      <c r="L309" s="364">
        <f>+'Yr 1 Operating Statement of Act'!$G311/12</f>
        <v>1125</v>
      </c>
      <c r="M309" s="364">
        <f>+'Yr 1 Operating Statement of Act'!$G311/12</f>
        <v>1125</v>
      </c>
      <c r="N309" s="364">
        <f>+'Yr 1 Operating Statement of Act'!$G311/12</f>
        <v>1125</v>
      </c>
      <c r="O309" s="364">
        <f>+'Yr 1 Operating Statement of Act'!$G311/12</f>
        <v>1125</v>
      </c>
      <c r="P309" s="364">
        <f>+'Yr 1 Operating Statement of Act'!$G311/12</f>
        <v>1125</v>
      </c>
      <c r="Q309" s="364">
        <f>+'Yr 1 Operating Statement of Act'!$G311/12</f>
        <v>1125</v>
      </c>
      <c r="R309" s="364">
        <f>+'Yr 1 Operating Statement of Act'!$G311/12</f>
        <v>1125</v>
      </c>
      <c r="S309" s="365">
        <f>+'Yr 1 Operating Statement of Act'!$G311/12</f>
        <v>1125</v>
      </c>
      <c r="T309" s="365">
        <f t="shared" ref="T309:T320" si="60">SUM(H309:S309)</f>
        <v>13500</v>
      </c>
      <c r="U309" s="365"/>
      <c r="V309" s="365">
        <f t="shared" si="56"/>
        <v>13500</v>
      </c>
    </row>
    <row r="310" spans="1:22" x14ac:dyDescent="0.2">
      <c r="A310" s="3" t="s">
        <v>440</v>
      </c>
      <c r="B310" s="225">
        <v>238</v>
      </c>
      <c r="C310" s="37"/>
      <c r="D310" s="10"/>
      <c r="E310" s="10" t="s">
        <v>184</v>
      </c>
      <c r="F310" s="19" t="s">
        <v>185</v>
      </c>
      <c r="G310" s="159">
        <v>2830</v>
      </c>
      <c r="H310" s="363">
        <f>+'Yr 1 Operating Statement of Act'!$G312/12</f>
        <v>37.500000000000007</v>
      </c>
      <c r="I310" s="364">
        <f>+'Yr 1 Operating Statement of Act'!$G312/12</f>
        <v>37.500000000000007</v>
      </c>
      <c r="J310" s="364">
        <f>+'Yr 1 Operating Statement of Act'!$G312/12</f>
        <v>37.500000000000007</v>
      </c>
      <c r="K310" s="364">
        <f>+'Yr 1 Operating Statement of Act'!$G312/12</f>
        <v>37.500000000000007</v>
      </c>
      <c r="L310" s="364">
        <f>+'Yr 1 Operating Statement of Act'!$G312/12</f>
        <v>37.500000000000007</v>
      </c>
      <c r="M310" s="364">
        <f>+'Yr 1 Operating Statement of Act'!$G312/12</f>
        <v>37.500000000000007</v>
      </c>
      <c r="N310" s="364">
        <f>+'Yr 1 Operating Statement of Act'!$G312/12</f>
        <v>37.500000000000007</v>
      </c>
      <c r="O310" s="364">
        <f>+'Yr 1 Operating Statement of Act'!$G312/12</f>
        <v>37.500000000000007</v>
      </c>
      <c r="P310" s="364">
        <f>+'Yr 1 Operating Statement of Act'!$G312/12</f>
        <v>37.500000000000007</v>
      </c>
      <c r="Q310" s="364">
        <f>+'Yr 1 Operating Statement of Act'!$G312/12</f>
        <v>37.500000000000007</v>
      </c>
      <c r="R310" s="364">
        <f>+'Yr 1 Operating Statement of Act'!$G312/12</f>
        <v>37.500000000000007</v>
      </c>
      <c r="S310" s="365">
        <f>+'Yr 1 Operating Statement of Act'!$G312/12</f>
        <v>37.500000000000007</v>
      </c>
      <c r="T310" s="365">
        <f t="shared" si="60"/>
        <v>450.00000000000006</v>
      </c>
      <c r="U310" s="365"/>
      <c r="V310" s="365">
        <f t="shared" si="56"/>
        <v>450.00000000000006</v>
      </c>
    </row>
    <row r="311" spans="1:22" x14ac:dyDescent="0.2">
      <c r="A311" s="3" t="s">
        <v>440</v>
      </c>
      <c r="B311" s="225">
        <v>239</v>
      </c>
      <c r="C311" s="37"/>
      <c r="D311" s="10"/>
      <c r="E311" s="10" t="s">
        <v>131</v>
      </c>
      <c r="F311" s="19" t="s">
        <v>132</v>
      </c>
      <c r="G311" s="159" t="s">
        <v>183</v>
      </c>
      <c r="H311" s="363">
        <f>+'Yr 1 Operating Statement of Act'!G313</f>
        <v>0</v>
      </c>
      <c r="I311" s="364"/>
      <c r="J311" s="364"/>
      <c r="K311" s="364"/>
      <c r="L311" s="364"/>
      <c r="M311" s="364"/>
      <c r="N311" s="364"/>
      <c r="O311" s="364"/>
      <c r="P311" s="364"/>
      <c r="Q311" s="364"/>
      <c r="R311" s="364"/>
      <c r="S311" s="365"/>
      <c r="T311" s="365">
        <f t="shared" si="60"/>
        <v>0</v>
      </c>
      <c r="U311" s="365"/>
      <c r="V311" s="365">
        <f t="shared" si="56"/>
        <v>0</v>
      </c>
    </row>
    <row r="312" spans="1:22" x14ac:dyDescent="0.2">
      <c r="A312" s="3" t="s">
        <v>440</v>
      </c>
      <c r="B312" s="225">
        <v>240</v>
      </c>
      <c r="C312" s="37"/>
      <c r="D312" s="10" t="s">
        <v>186</v>
      </c>
      <c r="E312" s="10"/>
      <c r="F312" s="105" t="s">
        <v>221</v>
      </c>
      <c r="G312" s="173" t="s">
        <v>226</v>
      </c>
      <c r="H312" s="363">
        <f>+'Yr 1 Operating Statement of Act'!G314</f>
        <v>0</v>
      </c>
      <c r="I312" s="394"/>
      <c r="J312" s="394"/>
      <c r="K312" s="394"/>
      <c r="L312" s="394"/>
      <c r="M312" s="394"/>
      <c r="N312" s="394"/>
      <c r="O312" s="394"/>
      <c r="P312" s="394"/>
      <c r="Q312" s="394"/>
      <c r="R312" s="394"/>
      <c r="S312" s="395"/>
      <c r="T312" s="365">
        <f t="shared" si="60"/>
        <v>0</v>
      </c>
      <c r="U312" s="365"/>
      <c r="V312" s="365">
        <f t="shared" si="56"/>
        <v>0</v>
      </c>
    </row>
    <row r="313" spans="1:22" x14ac:dyDescent="0.2">
      <c r="A313" s="3" t="s">
        <v>440</v>
      </c>
      <c r="B313" s="225">
        <v>241</v>
      </c>
      <c r="C313" s="37"/>
      <c r="D313" s="10" t="s">
        <v>295</v>
      </c>
      <c r="E313" s="10"/>
      <c r="F313" s="19" t="s">
        <v>97</v>
      </c>
      <c r="G313" s="159" t="s">
        <v>226</v>
      </c>
      <c r="H313" s="363">
        <f>+'Yr 1 Operating Statement of Act'!G315</f>
        <v>0</v>
      </c>
      <c r="I313" s="364"/>
      <c r="J313" s="364"/>
      <c r="K313" s="364"/>
      <c r="L313" s="364"/>
      <c r="M313" s="364"/>
      <c r="N313" s="364"/>
      <c r="O313" s="364"/>
      <c r="P313" s="364"/>
      <c r="Q313" s="364"/>
      <c r="R313" s="364"/>
      <c r="S313" s="365"/>
      <c r="T313" s="365">
        <f t="shared" si="60"/>
        <v>0</v>
      </c>
      <c r="U313" s="365"/>
      <c r="V313" s="365">
        <f t="shared" si="56"/>
        <v>0</v>
      </c>
    </row>
    <row r="314" spans="1:22" x14ac:dyDescent="0.2">
      <c r="A314" s="3" t="s">
        <v>440</v>
      </c>
      <c r="B314" s="225">
        <v>242</v>
      </c>
      <c r="C314" s="37"/>
      <c r="D314" s="10" t="s">
        <v>98</v>
      </c>
      <c r="E314" s="10"/>
      <c r="F314" s="19" t="s">
        <v>99</v>
      </c>
      <c r="G314" s="159" t="s">
        <v>226</v>
      </c>
      <c r="H314" s="363">
        <f>+'Yr 1 Operating Statement of Act'!G316</f>
        <v>0</v>
      </c>
      <c r="I314" s="364"/>
      <c r="J314" s="364"/>
      <c r="K314" s="364"/>
      <c r="L314" s="364"/>
      <c r="M314" s="364"/>
      <c r="N314" s="364"/>
      <c r="O314" s="364"/>
      <c r="P314" s="364"/>
      <c r="Q314" s="364"/>
      <c r="R314" s="364"/>
      <c r="S314" s="365"/>
      <c r="T314" s="365">
        <f t="shared" si="60"/>
        <v>0</v>
      </c>
      <c r="U314" s="365"/>
      <c r="V314" s="365">
        <f t="shared" si="56"/>
        <v>0</v>
      </c>
    </row>
    <row r="315" spans="1:22" x14ac:dyDescent="0.2">
      <c r="A315" s="3" t="s">
        <v>440</v>
      </c>
      <c r="B315" s="225">
        <v>243</v>
      </c>
      <c r="C315" s="37"/>
      <c r="D315" s="10" t="s">
        <v>100</v>
      </c>
      <c r="E315" s="10"/>
      <c r="F315" s="19" t="s">
        <v>101</v>
      </c>
      <c r="G315" s="159" t="s">
        <v>226</v>
      </c>
      <c r="H315" s="363">
        <f>+'Yr 1 Operating Statement of Act'!G317</f>
        <v>0</v>
      </c>
      <c r="I315" s="364"/>
      <c r="J315" s="364"/>
      <c r="K315" s="364"/>
      <c r="L315" s="364"/>
      <c r="M315" s="364"/>
      <c r="N315" s="364"/>
      <c r="O315" s="364"/>
      <c r="P315" s="364"/>
      <c r="Q315" s="364"/>
      <c r="R315" s="364"/>
      <c r="S315" s="365"/>
      <c r="T315" s="365">
        <f t="shared" si="60"/>
        <v>0</v>
      </c>
      <c r="U315" s="365"/>
      <c r="V315" s="365">
        <f t="shared" si="56"/>
        <v>0</v>
      </c>
    </row>
    <row r="316" spans="1:22" x14ac:dyDescent="0.2">
      <c r="A316" s="3" t="s">
        <v>440</v>
      </c>
      <c r="B316" s="225">
        <v>244</v>
      </c>
      <c r="C316" s="37"/>
      <c r="D316" s="10" t="s">
        <v>219</v>
      </c>
      <c r="E316" s="10"/>
      <c r="F316" s="19" t="s">
        <v>220</v>
      </c>
      <c r="G316" s="159" t="s">
        <v>226</v>
      </c>
      <c r="H316" s="363">
        <f>+'Yr 1 Operating Statement of Act'!G318</f>
        <v>0</v>
      </c>
      <c r="I316" s="364"/>
      <c r="J316" s="364"/>
      <c r="K316" s="364"/>
      <c r="L316" s="364"/>
      <c r="M316" s="364"/>
      <c r="N316" s="364"/>
      <c r="O316" s="364"/>
      <c r="P316" s="364"/>
      <c r="Q316" s="364"/>
      <c r="R316" s="364"/>
      <c r="S316" s="365"/>
      <c r="T316" s="365">
        <f t="shared" si="60"/>
        <v>0</v>
      </c>
      <c r="U316" s="365"/>
      <c r="V316" s="365">
        <f t="shared" si="56"/>
        <v>0</v>
      </c>
    </row>
    <row r="317" spans="1:22" x14ac:dyDescent="0.2">
      <c r="A317" s="3" t="s">
        <v>440</v>
      </c>
      <c r="B317" s="225">
        <v>245</v>
      </c>
      <c r="C317" s="37"/>
      <c r="D317" s="10" t="s">
        <v>102</v>
      </c>
      <c r="E317" s="10"/>
      <c r="F317" s="19" t="s">
        <v>103</v>
      </c>
      <c r="G317" s="159" t="s">
        <v>226</v>
      </c>
      <c r="H317" s="363">
        <f>+'Yr 1 Operating Statement of Act'!G319</f>
        <v>0</v>
      </c>
      <c r="I317" s="364"/>
      <c r="J317" s="364"/>
      <c r="K317" s="364"/>
      <c r="L317" s="364"/>
      <c r="M317" s="364"/>
      <c r="N317" s="364"/>
      <c r="O317" s="364"/>
      <c r="P317" s="364"/>
      <c r="Q317" s="364"/>
      <c r="R317" s="364"/>
      <c r="S317" s="365"/>
      <c r="T317" s="365">
        <f t="shared" si="60"/>
        <v>0</v>
      </c>
      <c r="U317" s="365"/>
      <c r="V317" s="365">
        <f t="shared" si="56"/>
        <v>0</v>
      </c>
    </row>
    <row r="318" spans="1:22" x14ac:dyDescent="0.2">
      <c r="A318" s="3" t="s">
        <v>440</v>
      </c>
      <c r="B318" s="225">
        <v>246</v>
      </c>
      <c r="C318" s="37"/>
      <c r="D318" s="10" t="s">
        <v>104</v>
      </c>
      <c r="E318" s="10"/>
      <c r="F318" s="19" t="s">
        <v>105</v>
      </c>
      <c r="G318" s="159" t="s">
        <v>226</v>
      </c>
      <c r="H318" s="363">
        <f>+'Yr 1 Operating Statement of Act'!G320</f>
        <v>0</v>
      </c>
      <c r="I318" s="364"/>
      <c r="J318" s="364"/>
      <c r="K318" s="364"/>
      <c r="L318" s="364"/>
      <c r="M318" s="364"/>
      <c r="N318" s="364"/>
      <c r="O318" s="364"/>
      <c r="P318" s="364"/>
      <c r="Q318" s="364"/>
      <c r="R318" s="364"/>
      <c r="S318" s="365"/>
      <c r="T318" s="365">
        <f t="shared" si="60"/>
        <v>0</v>
      </c>
      <c r="U318" s="365"/>
      <c r="V318" s="365">
        <f t="shared" si="56"/>
        <v>0</v>
      </c>
    </row>
    <row r="319" spans="1:22" x14ac:dyDescent="0.2">
      <c r="A319" s="3" t="s">
        <v>440</v>
      </c>
      <c r="B319" s="225">
        <v>247</v>
      </c>
      <c r="C319" s="37"/>
      <c r="D319" s="86"/>
      <c r="E319" s="10"/>
      <c r="F319" s="19"/>
      <c r="G319" s="159"/>
      <c r="H319" s="363"/>
      <c r="I319" s="364"/>
      <c r="J319" s="364"/>
      <c r="K319" s="364"/>
      <c r="L319" s="364"/>
      <c r="M319" s="364"/>
      <c r="N319" s="364"/>
      <c r="O319" s="364"/>
      <c r="P319" s="364"/>
      <c r="Q319" s="364"/>
      <c r="R319" s="364"/>
      <c r="S319" s="365"/>
      <c r="T319" s="365">
        <f t="shared" si="60"/>
        <v>0</v>
      </c>
      <c r="U319" s="365"/>
      <c r="V319" s="365">
        <f t="shared" si="56"/>
        <v>0</v>
      </c>
    </row>
    <row r="320" spans="1:22" x14ac:dyDescent="0.2">
      <c r="A320" s="3" t="s">
        <v>440</v>
      </c>
      <c r="B320" s="225">
        <v>248</v>
      </c>
      <c r="C320" s="84"/>
      <c r="E320" s="14"/>
      <c r="F320" s="15"/>
      <c r="G320" s="167"/>
      <c r="H320" s="380"/>
      <c r="I320" s="381"/>
      <c r="J320" s="381"/>
      <c r="K320" s="381"/>
      <c r="L320" s="381"/>
      <c r="M320" s="381"/>
      <c r="N320" s="381"/>
      <c r="O320" s="381"/>
      <c r="P320" s="381"/>
      <c r="Q320" s="381"/>
      <c r="R320" s="381"/>
      <c r="S320" s="382"/>
      <c r="T320" s="365">
        <f t="shared" si="60"/>
        <v>0</v>
      </c>
      <c r="U320" s="365"/>
      <c r="V320" s="365">
        <f t="shared" si="56"/>
        <v>0</v>
      </c>
    </row>
    <row r="321" spans="1:22" ht="15" x14ac:dyDescent="0.25">
      <c r="A321" s="3" t="s">
        <v>440</v>
      </c>
      <c r="B321" s="226">
        <v>249</v>
      </c>
      <c r="C321" s="88" t="s">
        <v>188</v>
      </c>
      <c r="D321" s="52"/>
      <c r="E321" s="52"/>
      <c r="F321" s="50"/>
      <c r="G321" s="163"/>
      <c r="H321" s="372">
        <f t="shared" ref="H321:U321" si="61">SUM(H309:H320)</f>
        <v>1162.5</v>
      </c>
      <c r="I321" s="373">
        <f t="shared" si="61"/>
        <v>1162.5</v>
      </c>
      <c r="J321" s="373">
        <f t="shared" si="61"/>
        <v>1162.5</v>
      </c>
      <c r="K321" s="373">
        <f t="shared" si="61"/>
        <v>1162.5</v>
      </c>
      <c r="L321" s="373">
        <f t="shared" si="61"/>
        <v>1162.5</v>
      </c>
      <c r="M321" s="373">
        <f t="shared" si="61"/>
        <v>1162.5</v>
      </c>
      <c r="N321" s="373">
        <f t="shared" si="61"/>
        <v>1162.5</v>
      </c>
      <c r="O321" s="373">
        <f t="shared" si="61"/>
        <v>1162.5</v>
      </c>
      <c r="P321" s="373">
        <f t="shared" si="61"/>
        <v>1162.5</v>
      </c>
      <c r="Q321" s="373">
        <f t="shared" si="61"/>
        <v>1162.5</v>
      </c>
      <c r="R321" s="373">
        <f t="shared" si="61"/>
        <v>1162.5</v>
      </c>
      <c r="S321" s="374">
        <f t="shared" si="61"/>
        <v>1162.5</v>
      </c>
      <c r="T321" s="374">
        <f t="shared" si="61"/>
        <v>13950</v>
      </c>
      <c r="U321" s="374">
        <f t="shared" si="61"/>
        <v>0</v>
      </c>
      <c r="V321" s="374">
        <f t="shared" si="56"/>
        <v>13950</v>
      </c>
    </row>
    <row r="322" spans="1:22" s="14" customFormat="1" ht="15" x14ac:dyDescent="0.25">
      <c r="A322" s="3" t="s">
        <v>440</v>
      </c>
      <c r="B322" s="223"/>
      <c r="C322" s="82"/>
      <c r="D322" s="59"/>
      <c r="E322" s="59"/>
      <c r="F322" s="23"/>
      <c r="G322" s="162"/>
      <c r="H322" s="396"/>
      <c r="I322" s="367"/>
      <c r="J322" s="367"/>
      <c r="K322" s="367"/>
      <c r="L322" s="367"/>
      <c r="M322" s="367"/>
      <c r="N322" s="367"/>
      <c r="O322" s="367"/>
      <c r="P322" s="367"/>
      <c r="Q322" s="367"/>
      <c r="R322" s="367"/>
      <c r="S322" s="397"/>
      <c r="T322" s="397"/>
      <c r="U322" s="397"/>
      <c r="V322" s="397">
        <f t="shared" si="56"/>
        <v>0</v>
      </c>
    </row>
    <row r="323" spans="1:22" s="14" customFormat="1" ht="15.75" thickBot="1" x14ac:dyDescent="0.3">
      <c r="A323" s="3" t="s">
        <v>440</v>
      </c>
      <c r="B323" s="222"/>
      <c r="C323" s="35"/>
      <c r="D323" s="21"/>
      <c r="E323" s="21"/>
      <c r="F323" s="15"/>
      <c r="G323" s="167"/>
      <c r="H323" s="380"/>
      <c r="I323" s="381"/>
      <c r="J323" s="381"/>
      <c r="K323" s="381"/>
      <c r="L323" s="381"/>
      <c r="M323" s="381"/>
      <c r="N323" s="381"/>
      <c r="O323" s="381"/>
      <c r="P323" s="381"/>
      <c r="Q323" s="381"/>
      <c r="R323" s="381"/>
      <c r="S323" s="382"/>
      <c r="T323" s="382"/>
      <c r="U323" s="382"/>
      <c r="V323" s="382">
        <f t="shared" si="56"/>
        <v>0</v>
      </c>
    </row>
    <row r="324" spans="1:22" ht="15.75" thickBot="1" x14ac:dyDescent="0.3">
      <c r="A324" s="3" t="s">
        <v>440</v>
      </c>
      <c r="B324" s="231">
        <v>250</v>
      </c>
      <c r="C324" s="76" t="s">
        <v>230</v>
      </c>
      <c r="D324" s="77"/>
      <c r="E324" s="77"/>
      <c r="F324" s="46"/>
      <c r="G324" s="166"/>
      <c r="H324" s="360">
        <f t="shared" ref="H324:U324" si="62">H169+H186+H201+H226+H251+H283+H305+H321</f>
        <v>79640.791540637729</v>
      </c>
      <c r="I324" s="361">
        <f t="shared" si="62"/>
        <v>78548.291540637729</v>
      </c>
      <c r="J324" s="361">
        <f t="shared" si="62"/>
        <v>102169.07666460467</v>
      </c>
      <c r="K324" s="361">
        <f t="shared" si="62"/>
        <v>99588.498152207976</v>
      </c>
      <c r="L324" s="361">
        <f t="shared" si="62"/>
        <v>100878.78740840632</v>
      </c>
      <c r="M324" s="361">
        <f t="shared" si="62"/>
        <v>97007.919639811284</v>
      </c>
      <c r="N324" s="361">
        <f t="shared" si="62"/>
        <v>91846.762615017884</v>
      </c>
      <c r="O324" s="361">
        <f t="shared" si="62"/>
        <v>102169.07666460467</v>
      </c>
      <c r="P324" s="361">
        <f t="shared" si="62"/>
        <v>122819.07666460467</v>
      </c>
      <c r="Q324" s="361">
        <f t="shared" si="62"/>
        <v>93137.05187121623</v>
      </c>
      <c r="R324" s="361">
        <f t="shared" si="62"/>
        <v>103459.36592080301</v>
      </c>
      <c r="S324" s="362">
        <f t="shared" si="62"/>
        <v>472806.28889600968</v>
      </c>
      <c r="T324" s="362">
        <f t="shared" si="62"/>
        <v>1544070.987578562</v>
      </c>
      <c r="U324" s="362">
        <f t="shared" si="62"/>
        <v>37502.964999999997</v>
      </c>
      <c r="V324" s="362">
        <f t="shared" si="56"/>
        <v>1581573.9525785621</v>
      </c>
    </row>
    <row r="325" spans="1:22" ht="15" thickBot="1" x14ac:dyDescent="0.25">
      <c r="A325" s="3" t="s">
        <v>440</v>
      </c>
      <c r="B325" s="230"/>
      <c r="C325" s="36"/>
      <c r="D325" s="13"/>
      <c r="E325" s="13"/>
      <c r="F325" s="98"/>
      <c r="G325" s="164"/>
      <c r="H325" s="398"/>
      <c r="I325" s="399"/>
      <c r="J325" s="399"/>
      <c r="K325" s="399"/>
      <c r="L325" s="399"/>
      <c r="M325" s="399"/>
      <c r="N325" s="399"/>
      <c r="O325" s="399"/>
      <c r="P325" s="399"/>
      <c r="Q325" s="399"/>
      <c r="R325" s="399"/>
      <c r="S325" s="400"/>
      <c r="T325" s="400"/>
      <c r="U325" s="400"/>
      <c r="V325" s="400">
        <f t="shared" si="56"/>
        <v>0</v>
      </c>
    </row>
    <row r="326" spans="1:22" ht="15.75" thickBot="1" x14ac:dyDescent="0.3">
      <c r="A326" s="3" t="s">
        <v>440</v>
      </c>
      <c r="B326" s="231"/>
      <c r="C326" s="76" t="s">
        <v>189</v>
      </c>
      <c r="D326" s="77"/>
      <c r="E326" s="77"/>
      <c r="F326" s="122"/>
      <c r="G326" s="174"/>
      <c r="H326" s="401"/>
      <c r="I326" s="402"/>
      <c r="J326" s="402"/>
      <c r="K326" s="402"/>
      <c r="L326" s="402"/>
      <c r="M326" s="402"/>
      <c r="N326" s="402"/>
      <c r="O326" s="402"/>
      <c r="P326" s="402"/>
      <c r="Q326" s="402"/>
      <c r="R326" s="402"/>
      <c r="S326" s="403"/>
      <c r="T326" s="403"/>
      <c r="U326" s="403"/>
      <c r="V326" s="403"/>
    </row>
    <row r="327" spans="1:22" s="5" customFormat="1" ht="15" x14ac:dyDescent="0.25">
      <c r="A327" s="3" t="s">
        <v>440</v>
      </c>
      <c r="B327" s="225"/>
      <c r="C327" s="89" t="s">
        <v>288</v>
      </c>
      <c r="D327" s="54"/>
      <c r="E327" s="54"/>
      <c r="F327" s="78"/>
      <c r="G327" s="170"/>
      <c r="H327" s="391"/>
      <c r="I327" s="392"/>
      <c r="J327" s="392"/>
      <c r="K327" s="392"/>
      <c r="L327" s="392"/>
      <c r="M327" s="392"/>
      <c r="N327" s="392"/>
      <c r="O327" s="392"/>
      <c r="P327" s="392"/>
      <c r="Q327" s="392"/>
      <c r="R327" s="392"/>
      <c r="S327" s="393"/>
      <c r="T327" s="393"/>
      <c r="U327" s="393"/>
      <c r="V327" s="393"/>
    </row>
    <row r="328" spans="1:22" x14ac:dyDescent="0.2">
      <c r="A328" s="3" t="s">
        <v>440</v>
      </c>
      <c r="B328" s="225">
        <v>251</v>
      </c>
      <c r="C328" s="37"/>
      <c r="D328" s="10" t="s">
        <v>190</v>
      </c>
      <c r="E328" s="10"/>
      <c r="F328" s="19" t="s">
        <v>222</v>
      </c>
      <c r="G328" s="159">
        <v>3100</v>
      </c>
      <c r="H328" s="363">
        <f>+'Yr 1 Operating Statement of Act'!G330</f>
        <v>0</v>
      </c>
      <c r="I328" s="364"/>
      <c r="J328" s="364"/>
      <c r="K328" s="364"/>
      <c r="L328" s="364"/>
      <c r="M328" s="364"/>
      <c r="N328" s="364"/>
      <c r="O328" s="364"/>
      <c r="P328" s="364"/>
      <c r="Q328" s="364"/>
      <c r="R328" s="364"/>
      <c r="S328" s="365"/>
      <c r="T328" s="365">
        <f t="shared" ref="T328:T346" si="63">SUM(H328:S328)</f>
        <v>0</v>
      </c>
      <c r="U328" s="365"/>
      <c r="V328" s="365">
        <f t="shared" si="56"/>
        <v>0</v>
      </c>
    </row>
    <row r="329" spans="1:22" x14ac:dyDescent="0.2">
      <c r="A329" s="3" t="s">
        <v>440</v>
      </c>
      <c r="B329" s="225">
        <v>252</v>
      </c>
      <c r="C329" s="37"/>
      <c r="D329" s="10" t="s">
        <v>250</v>
      </c>
      <c r="E329" s="10"/>
      <c r="F329" s="19" t="s">
        <v>251</v>
      </c>
      <c r="G329" s="159" t="s">
        <v>191</v>
      </c>
      <c r="H329" s="363">
        <f>+'Yr 1 Operating Statement of Act'!G331</f>
        <v>0</v>
      </c>
      <c r="I329" s="364"/>
      <c r="J329" s="364"/>
      <c r="K329" s="364"/>
      <c r="L329" s="364"/>
      <c r="M329" s="364"/>
      <c r="N329" s="364"/>
      <c r="O329" s="364"/>
      <c r="P329" s="364"/>
      <c r="Q329" s="364"/>
      <c r="R329" s="364"/>
      <c r="S329" s="365"/>
      <c r="T329" s="365">
        <f t="shared" si="63"/>
        <v>0</v>
      </c>
      <c r="U329" s="365"/>
      <c r="V329" s="365">
        <f t="shared" si="56"/>
        <v>0</v>
      </c>
    </row>
    <row r="330" spans="1:22" x14ac:dyDescent="0.2">
      <c r="A330" s="3" t="s">
        <v>440</v>
      </c>
      <c r="B330" s="225">
        <v>253</v>
      </c>
      <c r="C330" s="37"/>
      <c r="D330" s="10" t="s">
        <v>192</v>
      </c>
      <c r="E330" s="10"/>
      <c r="F330" s="19" t="s">
        <v>193</v>
      </c>
      <c r="G330" s="159" t="s">
        <v>191</v>
      </c>
      <c r="H330" s="363">
        <f>+'Yr 1 Operating Statement of Act'!$G332*0</f>
        <v>0</v>
      </c>
      <c r="I330" s="364">
        <f>+'Yr 1 Operating Statement of Act'!$G332*0</f>
        <v>0</v>
      </c>
      <c r="J330" s="364">
        <f>+'Yr 1 Operating Statement of Act'!$G332*'KIPP Assumptions'!$C$118</f>
        <v>9897.7272727272721</v>
      </c>
      <c r="K330" s="364">
        <f>+'Yr 1 Operating Statement of Act'!$G332*'KIPP Assumptions'!$C$119</f>
        <v>8907.954545454546</v>
      </c>
      <c r="L330" s="364">
        <f>+'Yr 1 Operating Statement of Act'!$G332*'KIPP Assumptions'!$C$120</f>
        <v>9402.8409090909099</v>
      </c>
      <c r="M330" s="364">
        <f>+'Yr 1 Operating Statement of Act'!$G332*'KIPP Assumptions'!$C$121</f>
        <v>7918.181818181818</v>
      </c>
      <c r="N330" s="364">
        <f>+'Yr 1 Operating Statement of Act'!$G332*'KIPP Assumptions'!$C$122</f>
        <v>5938.6363636363631</v>
      </c>
      <c r="O330" s="364">
        <f>+'Yr 1 Operating Statement of Act'!$G332*'KIPP Assumptions'!$C$123</f>
        <v>9897.7272727272721</v>
      </c>
      <c r="P330" s="364">
        <f>+'Yr 1 Operating Statement of Act'!$G332*'KIPP Assumptions'!$C$124</f>
        <v>9897.7272727272721</v>
      </c>
      <c r="Q330" s="364">
        <f>+'Yr 1 Operating Statement of Act'!$G332*'KIPP Assumptions'!$C$125</f>
        <v>6433.5227272727279</v>
      </c>
      <c r="R330" s="364">
        <f>+'Yr 1 Operating Statement of Act'!$G332*'KIPP Assumptions'!$C$126</f>
        <v>10392.613636363636</v>
      </c>
      <c r="S330" s="365">
        <f>+'Yr 1 Operating Statement of Act'!$G332*'KIPP Assumptions'!$C$127</f>
        <v>8413.068181818182</v>
      </c>
      <c r="T330" s="365">
        <f t="shared" si="63"/>
        <v>87099.999999999985</v>
      </c>
      <c r="U330" s="365"/>
      <c r="V330" s="365">
        <f t="shared" ref="V330:V393" si="64">+T330+U330</f>
        <v>87099.999999999985</v>
      </c>
    </row>
    <row r="331" spans="1:22" x14ac:dyDescent="0.2">
      <c r="A331" s="3" t="s">
        <v>440</v>
      </c>
      <c r="B331" s="225">
        <v>254</v>
      </c>
      <c r="C331" s="37"/>
      <c r="D331" s="10" t="s">
        <v>227</v>
      </c>
      <c r="E331" s="10"/>
      <c r="F331" s="19" t="s">
        <v>224</v>
      </c>
      <c r="G331" s="159" t="s">
        <v>191</v>
      </c>
      <c r="H331" s="363">
        <f>+'Yr 1 Operating Statement of Act'!G333</f>
        <v>0</v>
      </c>
      <c r="I331" s="364"/>
      <c r="J331" s="364"/>
      <c r="K331" s="364"/>
      <c r="L331" s="364"/>
      <c r="M331" s="364"/>
      <c r="N331" s="364"/>
      <c r="O331" s="364"/>
      <c r="P331" s="364"/>
      <c r="Q331" s="364"/>
      <c r="R331" s="364"/>
      <c r="S331" s="365"/>
      <c r="T331" s="365">
        <f t="shared" si="63"/>
        <v>0</v>
      </c>
      <c r="U331" s="365"/>
      <c r="V331" s="365">
        <f t="shared" si="64"/>
        <v>0</v>
      </c>
    </row>
    <row r="332" spans="1:22" x14ac:dyDescent="0.2">
      <c r="A332" s="3" t="s">
        <v>440</v>
      </c>
      <c r="B332" s="225">
        <v>255</v>
      </c>
      <c r="C332" s="37"/>
      <c r="D332" s="10" t="s">
        <v>110</v>
      </c>
      <c r="E332" s="10"/>
      <c r="F332" s="19" t="s">
        <v>90</v>
      </c>
      <c r="G332" s="159" t="s">
        <v>191</v>
      </c>
      <c r="H332" s="363">
        <f>+'Yr 1 Operating Statement of Act'!G334</f>
        <v>0</v>
      </c>
      <c r="I332" s="364"/>
      <c r="J332" s="364"/>
      <c r="K332" s="364"/>
      <c r="L332" s="364"/>
      <c r="M332" s="364"/>
      <c r="N332" s="364"/>
      <c r="O332" s="364"/>
      <c r="P332" s="364"/>
      <c r="Q332" s="364"/>
      <c r="R332" s="364"/>
      <c r="S332" s="365"/>
      <c r="T332" s="365">
        <f t="shared" si="63"/>
        <v>0</v>
      </c>
      <c r="U332" s="365"/>
      <c r="V332" s="365">
        <f t="shared" si="64"/>
        <v>0</v>
      </c>
    </row>
    <row r="333" spans="1:22" x14ac:dyDescent="0.2">
      <c r="A333" s="3" t="s">
        <v>440</v>
      </c>
      <c r="B333" s="225">
        <v>256</v>
      </c>
      <c r="C333" s="37"/>
      <c r="D333" s="10" t="s">
        <v>0</v>
      </c>
      <c r="E333" s="10"/>
      <c r="F333" s="19" t="s">
        <v>194</v>
      </c>
      <c r="G333" s="159" t="s">
        <v>191</v>
      </c>
      <c r="H333" s="363">
        <f>+'Yr 1 Operating Statement of Act'!G335</f>
        <v>0</v>
      </c>
      <c r="I333" s="364"/>
      <c r="J333" s="364"/>
      <c r="K333" s="364"/>
      <c r="L333" s="364"/>
      <c r="M333" s="364"/>
      <c r="N333" s="364"/>
      <c r="O333" s="364"/>
      <c r="P333" s="364"/>
      <c r="Q333" s="364"/>
      <c r="R333" s="364"/>
      <c r="S333" s="365"/>
      <c r="T333" s="365">
        <f t="shared" si="63"/>
        <v>0</v>
      </c>
      <c r="U333" s="365"/>
      <c r="V333" s="365">
        <f t="shared" si="64"/>
        <v>0</v>
      </c>
    </row>
    <row r="334" spans="1:22" x14ac:dyDescent="0.2">
      <c r="A334" s="3" t="s">
        <v>440</v>
      </c>
      <c r="B334" s="225">
        <v>257</v>
      </c>
      <c r="C334" s="37"/>
      <c r="D334" s="10" t="s">
        <v>187</v>
      </c>
      <c r="E334" s="10"/>
      <c r="F334" s="19" t="s">
        <v>149</v>
      </c>
      <c r="G334" s="159" t="s">
        <v>191</v>
      </c>
      <c r="H334" s="363">
        <f>+'Yr 1 Operating Statement of Act'!$G336/12</f>
        <v>441.66666666666669</v>
      </c>
      <c r="I334" s="364">
        <f>+'Yr 1 Operating Statement of Act'!$G336/12</f>
        <v>441.66666666666669</v>
      </c>
      <c r="J334" s="364">
        <f>+'Yr 1 Operating Statement of Act'!$G336/12</f>
        <v>441.66666666666669</v>
      </c>
      <c r="K334" s="364">
        <f>+'Yr 1 Operating Statement of Act'!$G336/12</f>
        <v>441.66666666666669</v>
      </c>
      <c r="L334" s="364">
        <f>+'Yr 1 Operating Statement of Act'!$G336/12</f>
        <v>441.66666666666669</v>
      </c>
      <c r="M334" s="364">
        <f>+'Yr 1 Operating Statement of Act'!$G336/12</f>
        <v>441.66666666666669</v>
      </c>
      <c r="N334" s="364">
        <f>+'Yr 1 Operating Statement of Act'!$G336/12</f>
        <v>441.66666666666669</v>
      </c>
      <c r="O334" s="364">
        <f>+'Yr 1 Operating Statement of Act'!$G336/12</f>
        <v>441.66666666666669</v>
      </c>
      <c r="P334" s="364">
        <f>+'Yr 1 Operating Statement of Act'!$G336/12</f>
        <v>441.66666666666669</v>
      </c>
      <c r="Q334" s="364">
        <f>+'Yr 1 Operating Statement of Act'!$G336/12</f>
        <v>441.66666666666669</v>
      </c>
      <c r="R334" s="364">
        <f>+'Yr 1 Operating Statement of Act'!$G336/12</f>
        <v>441.66666666666669</v>
      </c>
      <c r="S334" s="365">
        <f>+'Yr 1 Operating Statement of Act'!$G336/12</f>
        <v>441.66666666666669</v>
      </c>
      <c r="T334" s="365">
        <f t="shared" si="63"/>
        <v>5300</v>
      </c>
      <c r="U334" s="365"/>
      <c r="V334" s="365">
        <f t="shared" si="64"/>
        <v>5300</v>
      </c>
    </row>
    <row r="335" spans="1:22" x14ac:dyDescent="0.2">
      <c r="A335" s="3" t="s">
        <v>440</v>
      </c>
      <c r="B335" s="225">
        <v>258</v>
      </c>
      <c r="C335" s="37"/>
      <c r="D335" s="10" t="s">
        <v>228</v>
      </c>
      <c r="E335" s="10"/>
      <c r="F335" s="19" t="s">
        <v>229</v>
      </c>
      <c r="G335" s="159">
        <v>3100</v>
      </c>
      <c r="H335" s="363">
        <f>+'Yr 1 Operating Statement of Act'!G337</f>
        <v>0</v>
      </c>
      <c r="I335" s="364"/>
      <c r="J335" s="364"/>
      <c r="K335" s="364"/>
      <c r="L335" s="364"/>
      <c r="M335" s="364"/>
      <c r="N335" s="364"/>
      <c r="O335" s="364"/>
      <c r="P335" s="364"/>
      <c r="Q335" s="364"/>
      <c r="R335" s="364"/>
      <c r="S335" s="365"/>
      <c r="T335" s="365">
        <f t="shared" si="63"/>
        <v>0</v>
      </c>
      <c r="U335" s="365"/>
      <c r="V335" s="365">
        <f t="shared" si="64"/>
        <v>0</v>
      </c>
    </row>
    <row r="336" spans="1:22" x14ac:dyDescent="0.2">
      <c r="A336" s="3" t="s">
        <v>440</v>
      </c>
      <c r="B336" s="225">
        <v>259</v>
      </c>
      <c r="C336" s="37"/>
      <c r="D336" s="10" t="s">
        <v>143</v>
      </c>
      <c r="E336" s="10"/>
      <c r="F336" s="19" t="s">
        <v>144</v>
      </c>
      <c r="G336" s="159" t="s">
        <v>191</v>
      </c>
      <c r="H336" s="363">
        <f>+'Yr 1 Operating Statement of Act'!G338</f>
        <v>0</v>
      </c>
      <c r="I336" s="364"/>
      <c r="J336" s="364"/>
      <c r="K336" s="364"/>
      <c r="L336" s="364"/>
      <c r="M336" s="364"/>
      <c r="N336" s="364"/>
      <c r="O336" s="364"/>
      <c r="P336" s="364"/>
      <c r="Q336" s="364"/>
      <c r="R336" s="364"/>
      <c r="S336" s="365"/>
      <c r="T336" s="365">
        <f t="shared" si="63"/>
        <v>0</v>
      </c>
      <c r="U336" s="365"/>
      <c r="V336" s="365">
        <f t="shared" si="64"/>
        <v>0</v>
      </c>
    </row>
    <row r="337" spans="1:22" x14ac:dyDescent="0.2">
      <c r="A337" s="3" t="s">
        <v>440</v>
      </c>
      <c r="B337" s="225">
        <v>260</v>
      </c>
      <c r="C337" s="37"/>
      <c r="D337" s="10" t="s">
        <v>93</v>
      </c>
      <c r="E337" s="10"/>
      <c r="F337" s="19" t="s">
        <v>94</v>
      </c>
      <c r="G337" s="159" t="s">
        <v>191</v>
      </c>
      <c r="H337" s="363">
        <f>+'Yr 1 Operating Statement of Act'!G339</f>
        <v>0</v>
      </c>
      <c r="I337" s="364"/>
      <c r="J337" s="364"/>
      <c r="K337" s="364"/>
      <c r="L337" s="364"/>
      <c r="M337" s="364"/>
      <c r="N337" s="364"/>
      <c r="O337" s="364"/>
      <c r="P337" s="364"/>
      <c r="Q337" s="364"/>
      <c r="R337" s="364"/>
      <c r="S337" s="365"/>
      <c r="T337" s="365">
        <f t="shared" si="63"/>
        <v>0</v>
      </c>
      <c r="U337" s="365"/>
      <c r="V337" s="365">
        <f t="shared" si="64"/>
        <v>0</v>
      </c>
    </row>
    <row r="338" spans="1:22" x14ac:dyDescent="0.2">
      <c r="A338" s="3" t="s">
        <v>440</v>
      </c>
      <c r="B338" s="225">
        <v>261</v>
      </c>
      <c r="C338" s="37"/>
      <c r="D338" s="10" t="s">
        <v>295</v>
      </c>
      <c r="E338" s="10"/>
      <c r="F338" s="19" t="s">
        <v>97</v>
      </c>
      <c r="G338" s="159" t="s">
        <v>12</v>
      </c>
      <c r="H338" s="363">
        <f>+'Yr 1 Operating Statement of Act'!G340</f>
        <v>0</v>
      </c>
      <c r="I338" s="364"/>
      <c r="J338" s="364"/>
      <c r="K338" s="364"/>
      <c r="L338" s="364"/>
      <c r="M338" s="364"/>
      <c r="N338" s="364"/>
      <c r="O338" s="364"/>
      <c r="P338" s="364"/>
      <c r="Q338" s="364"/>
      <c r="R338" s="364"/>
      <c r="S338" s="365"/>
      <c r="T338" s="365">
        <f t="shared" si="63"/>
        <v>0</v>
      </c>
      <c r="U338" s="365"/>
      <c r="V338" s="365">
        <f t="shared" si="64"/>
        <v>0</v>
      </c>
    </row>
    <row r="339" spans="1:22" x14ac:dyDescent="0.2">
      <c r="A339" s="3" t="s">
        <v>440</v>
      </c>
      <c r="B339" s="225">
        <v>262</v>
      </c>
      <c r="C339" s="37"/>
      <c r="D339" s="10" t="s">
        <v>98</v>
      </c>
      <c r="E339" s="10"/>
      <c r="F339" s="19" t="s">
        <v>99</v>
      </c>
      <c r="G339" s="159" t="s">
        <v>12</v>
      </c>
      <c r="H339" s="363">
        <f>+'Yr 1 Operating Statement of Act'!G341</f>
        <v>0</v>
      </c>
      <c r="I339" s="364"/>
      <c r="J339" s="364"/>
      <c r="K339" s="364"/>
      <c r="L339" s="364"/>
      <c r="M339" s="364"/>
      <c r="N339" s="364"/>
      <c r="O339" s="364"/>
      <c r="P339" s="364"/>
      <c r="Q339" s="364"/>
      <c r="R339" s="364"/>
      <c r="S339" s="365"/>
      <c r="T339" s="365">
        <f t="shared" si="63"/>
        <v>0</v>
      </c>
      <c r="U339" s="365"/>
      <c r="V339" s="365">
        <f t="shared" si="64"/>
        <v>0</v>
      </c>
    </row>
    <row r="340" spans="1:22" x14ac:dyDescent="0.2">
      <c r="A340" s="3" t="s">
        <v>440</v>
      </c>
      <c r="B340" s="225">
        <v>263</v>
      </c>
      <c r="C340" s="37"/>
      <c r="D340" s="10" t="s">
        <v>100</v>
      </c>
      <c r="E340" s="10"/>
      <c r="F340" s="19" t="s">
        <v>101</v>
      </c>
      <c r="G340" s="159" t="s">
        <v>12</v>
      </c>
      <c r="H340" s="363">
        <f>+'Yr 1 Operating Statement of Act'!G342</f>
        <v>0</v>
      </c>
      <c r="I340" s="364"/>
      <c r="J340" s="364"/>
      <c r="K340" s="364"/>
      <c r="L340" s="364"/>
      <c r="M340" s="364"/>
      <c r="N340" s="364"/>
      <c r="O340" s="364"/>
      <c r="P340" s="364"/>
      <c r="Q340" s="364"/>
      <c r="R340" s="364"/>
      <c r="S340" s="365"/>
      <c r="T340" s="365">
        <f t="shared" si="63"/>
        <v>0</v>
      </c>
      <c r="U340" s="365"/>
      <c r="V340" s="365">
        <f t="shared" si="64"/>
        <v>0</v>
      </c>
    </row>
    <row r="341" spans="1:22" x14ac:dyDescent="0.2">
      <c r="A341" s="3" t="s">
        <v>440</v>
      </c>
      <c r="B341" s="225">
        <v>264</v>
      </c>
      <c r="C341" s="37"/>
      <c r="D341" s="10" t="s">
        <v>219</v>
      </c>
      <c r="E341" s="10"/>
      <c r="F341" s="19" t="s">
        <v>220</v>
      </c>
      <c r="G341" s="159" t="s">
        <v>12</v>
      </c>
      <c r="H341" s="363">
        <f>+'Yr 1 Operating Statement of Act'!G343</f>
        <v>0</v>
      </c>
      <c r="I341" s="364"/>
      <c r="J341" s="364"/>
      <c r="K341" s="364"/>
      <c r="L341" s="364"/>
      <c r="M341" s="364"/>
      <c r="N341" s="364"/>
      <c r="O341" s="364"/>
      <c r="P341" s="364"/>
      <c r="Q341" s="364"/>
      <c r="R341" s="364"/>
      <c r="S341" s="365"/>
      <c r="T341" s="365">
        <f t="shared" si="63"/>
        <v>0</v>
      </c>
      <c r="U341" s="365"/>
      <c r="V341" s="365">
        <f t="shared" si="64"/>
        <v>0</v>
      </c>
    </row>
    <row r="342" spans="1:22" x14ac:dyDescent="0.2">
      <c r="A342" s="3" t="s">
        <v>440</v>
      </c>
      <c r="B342" s="225">
        <v>265</v>
      </c>
      <c r="C342" s="37"/>
      <c r="D342" s="10" t="s">
        <v>102</v>
      </c>
      <c r="E342" s="10"/>
      <c r="F342" s="19" t="s">
        <v>103</v>
      </c>
      <c r="G342" s="159" t="s">
        <v>12</v>
      </c>
      <c r="H342" s="363">
        <f>+'Yr 1 Operating Statement of Act'!G344</f>
        <v>0</v>
      </c>
      <c r="I342" s="364"/>
      <c r="J342" s="364"/>
      <c r="K342" s="364"/>
      <c r="L342" s="364"/>
      <c r="M342" s="364"/>
      <c r="N342" s="364"/>
      <c r="O342" s="364"/>
      <c r="P342" s="364"/>
      <c r="Q342" s="364"/>
      <c r="R342" s="364"/>
      <c r="S342" s="365"/>
      <c r="T342" s="365">
        <f t="shared" si="63"/>
        <v>0</v>
      </c>
      <c r="U342" s="365"/>
      <c r="V342" s="365">
        <f t="shared" si="64"/>
        <v>0</v>
      </c>
    </row>
    <row r="343" spans="1:22" x14ac:dyDescent="0.2">
      <c r="A343" s="3" t="s">
        <v>440</v>
      </c>
      <c r="B343" s="225">
        <v>266</v>
      </c>
      <c r="C343" s="37"/>
      <c r="D343" s="10" t="s">
        <v>104</v>
      </c>
      <c r="E343" s="10"/>
      <c r="F343" s="19" t="s">
        <v>105</v>
      </c>
      <c r="G343" s="159" t="s">
        <v>12</v>
      </c>
      <c r="H343" s="363">
        <f>+'Yr 1 Operating Statement of Act'!G345</f>
        <v>0</v>
      </c>
      <c r="I343" s="364"/>
      <c r="J343" s="364"/>
      <c r="K343" s="364"/>
      <c r="L343" s="364"/>
      <c r="M343" s="364"/>
      <c r="N343" s="364"/>
      <c r="O343" s="364"/>
      <c r="P343" s="364"/>
      <c r="Q343" s="364"/>
      <c r="R343" s="364"/>
      <c r="S343" s="365"/>
      <c r="T343" s="365">
        <f t="shared" si="63"/>
        <v>0</v>
      </c>
      <c r="U343" s="365"/>
      <c r="V343" s="365">
        <f t="shared" si="64"/>
        <v>0</v>
      </c>
    </row>
    <row r="344" spans="1:22" x14ac:dyDescent="0.2">
      <c r="A344" s="3" t="s">
        <v>440</v>
      </c>
      <c r="B344" s="225">
        <v>267</v>
      </c>
      <c r="C344" s="37"/>
      <c r="D344" s="86" t="s">
        <v>283</v>
      </c>
      <c r="E344" s="10"/>
      <c r="F344" s="19"/>
      <c r="G344" s="159"/>
      <c r="H344" s="363"/>
      <c r="I344" s="364"/>
      <c r="J344" s="364"/>
      <c r="K344" s="364"/>
      <c r="L344" s="364"/>
      <c r="M344" s="364"/>
      <c r="N344" s="364"/>
      <c r="O344" s="364"/>
      <c r="P344" s="364"/>
      <c r="Q344" s="364"/>
      <c r="R344" s="364"/>
      <c r="S344" s="365"/>
      <c r="T344" s="365">
        <f t="shared" si="63"/>
        <v>0</v>
      </c>
      <c r="U344" s="365"/>
      <c r="V344" s="365">
        <f t="shared" si="64"/>
        <v>0</v>
      </c>
    </row>
    <row r="345" spans="1:22" x14ac:dyDescent="0.2">
      <c r="A345" s="3" t="s">
        <v>440</v>
      </c>
      <c r="B345" s="225">
        <v>268</v>
      </c>
      <c r="C345" s="37"/>
      <c r="D345" s="86"/>
      <c r="E345" s="10"/>
      <c r="F345" s="19"/>
      <c r="G345" s="159"/>
      <c r="H345" s="363"/>
      <c r="I345" s="364"/>
      <c r="J345" s="364"/>
      <c r="K345" s="364"/>
      <c r="L345" s="364"/>
      <c r="M345" s="364"/>
      <c r="N345" s="364"/>
      <c r="O345" s="364"/>
      <c r="P345" s="364"/>
      <c r="Q345" s="364"/>
      <c r="R345" s="364"/>
      <c r="S345" s="365"/>
      <c r="T345" s="365">
        <f t="shared" si="63"/>
        <v>0</v>
      </c>
      <c r="U345" s="365"/>
      <c r="V345" s="365">
        <f t="shared" si="64"/>
        <v>0</v>
      </c>
    </row>
    <row r="346" spans="1:22" x14ac:dyDescent="0.2">
      <c r="A346" s="3" t="s">
        <v>440</v>
      </c>
      <c r="B346" s="225">
        <v>269</v>
      </c>
      <c r="C346" s="84"/>
      <c r="E346" s="14"/>
      <c r="F346" s="15"/>
      <c r="G346" s="167"/>
      <c r="H346" s="380"/>
      <c r="I346" s="381"/>
      <c r="J346" s="381"/>
      <c r="K346" s="381"/>
      <c r="L346" s="381"/>
      <c r="M346" s="381"/>
      <c r="N346" s="381"/>
      <c r="O346" s="381"/>
      <c r="P346" s="381"/>
      <c r="Q346" s="381"/>
      <c r="R346" s="381"/>
      <c r="S346" s="382"/>
      <c r="T346" s="365">
        <f t="shared" si="63"/>
        <v>0</v>
      </c>
      <c r="U346" s="365"/>
      <c r="V346" s="365">
        <f t="shared" si="64"/>
        <v>0</v>
      </c>
    </row>
    <row r="347" spans="1:22" ht="15" x14ac:dyDescent="0.25">
      <c r="A347" s="3" t="s">
        <v>440</v>
      </c>
      <c r="B347" s="226">
        <v>270</v>
      </c>
      <c r="C347" s="88" t="s">
        <v>195</v>
      </c>
      <c r="D347" s="52"/>
      <c r="E347" s="52"/>
      <c r="F347" s="50"/>
      <c r="G347" s="163"/>
      <c r="H347" s="372">
        <f t="shared" ref="H347:U347" si="65">SUM(H328:H346)</f>
        <v>441.66666666666669</v>
      </c>
      <c r="I347" s="373">
        <f t="shared" si="65"/>
        <v>441.66666666666669</v>
      </c>
      <c r="J347" s="373">
        <f t="shared" si="65"/>
        <v>10339.393939393938</v>
      </c>
      <c r="K347" s="373">
        <f t="shared" si="65"/>
        <v>9349.621212121212</v>
      </c>
      <c r="L347" s="373">
        <f t="shared" si="65"/>
        <v>9844.507575757576</v>
      </c>
      <c r="M347" s="373">
        <f t="shared" si="65"/>
        <v>8359.8484848484841</v>
      </c>
      <c r="N347" s="373">
        <f t="shared" si="65"/>
        <v>6380.30303030303</v>
      </c>
      <c r="O347" s="373">
        <f t="shared" si="65"/>
        <v>10339.393939393938</v>
      </c>
      <c r="P347" s="373">
        <f t="shared" si="65"/>
        <v>10339.393939393938</v>
      </c>
      <c r="Q347" s="373">
        <f t="shared" si="65"/>
        <v>6875.1893939393949</v>
      </c>
      <c r="R347" s="373">
        <f t="shared" si="65"/>
        <v>10834.280303030302</v>
      </c>
      <c r="S347" s="374">
        <f t="shared" si="65"/>
        <v>8854.734848484848</v>
      </c>
      <c r="T347" s="374">
        <f t="shared" si="65"/>
        <v>92399.999999999985</v>
      </c>
      <c r="U347" s="374">
        <f t="shared" si="65"/>
        <v>0</v>
      </c>
      <c r="V347" s="374">
        <f t="shared" si="64"/>
        <v>92399.999999999985</v>
      </c>
    </row>
    <row r="348" spans="1:22" ht="6" customHeight="1" x14ac:dyDescent="0.2">
      <c r="A348" s="3" t="s">
        <v>440</v>
      </c>
      <c r="B348" s="225"/>
      <c r="C348" s="37"/>
      <c r="D348" s="10"/>
      <c r="E348" s="10"/>
      <c r="F348" s="19"/>
      <c r="G348" s="159"/>
      <c r="H348" s="363"/>
      <c r="I348" s="364"/>
      <c r="J348" s="364"/>
      <c r="K348" s="364"/>
      <c r="L348" s="364"/>
      <c r="M348" s="364"/>
      <c r="N348" s="364"/>
      <c r="O348" s="364"/>
      <c r="P348" s="364"/>
      <c r="Q348" s="364"/>
      <c r="R348" s="364"/>
      <c r="S348" s="365"/>
      <c r="T348" s="365"/>
      <c r="U348" s="365"/>
      <c r="V348" s="365">
        <f t="shared" si="64"/>
        <v>0</v>
      </c>
    </row>
    <row r="349" spans="1:22" ht="7.5" customHeight="1" x14ac:dyDescent="0.2">
      <c r="A349" s="3" t="s">
        <v>440</v>
      </c>
      <c r="B349" s="225"/>
      <c r="C349" s="37"/>
      <c r="D349" s="10"/>
      <c r="E349" s="10"/>
      <c r="F349" s="19"/>
      <c r="G349" s="159"/>
      <c r="H349" s="363"/>
      <c r="I349" s="364"/>
      <c r="J349" s="364"/>
      <c r="K349" s="364"/>
      <c r="L349" s="364"/>
      <c r="M349" s="364"/>
      <c r="N349" s="364"/>
      <c r="O349" s="364"/>
      <c r="P349" s="364"/>
      <c r="Q349" s="364"/>
      <c r="R349" s="364"/>
      <c r="S349" s="365"/>
      <c r="T349" s="365"/>
      <c r="U349" s="365"/>
      <c r="V349" s="365">
        <f t="shared" si="64"/>
        <v>0</v>
      </c>
    </row>
    <row r="350" spans="1:22" s="5" customFormat="1" ht="15" x14ac:dyDescent="0.25">
      <c r="A350" s="3" t="s">
        <v>440</v>
      </c>
      <c r="B350" s="225" t="s">
        <v>33</v>
      </c>
      <c r="C350" s="89" t="s">
        <v>289</v>
      </c>
      <c r="D350" s="54"/>
      <c r="E350" s="54"/>
      <c r="F350" s="62"/>
      <c r="G350" s="158"/>
      <c r="H350" s="378"/>
      <c r="I350" s="366"/>
      <c r="J350" s="366"/>
      <c r="K350" s="366"/>
      <c r="L350" s="366"/>
      <c r="M350" s="366"/>
      <c r="N350" s="366"/>
      <c r="O350" s="366"/>
      <c r="P350" s="366"/>
      <c r="Q350" s="366"/>
      <c r="R350" s="366"/>
      <c r="S350" s="379"/>
      <c r="T350" s="379"/>
      <c r="U350" s="379"/>
      <c r="V350" s="379"/>
    </row>
    <row r="351" spans="1:22" x14ac:dyDescent="0.2">
      <c r="A351" s="3" t="s">
        <v>440</v>
      </c>
      <c r="B351" s="225">
        <v>271</v>
      </c>
      <c r="C351" s="37"/>
      <c r="D351" s="10" t="s">
        <v>76</v>
      </c>
      <c r="E351" s="10"/>
      <c r="F351" s="19" t="s">
        <v>222</v>
      </c>
      <c r="G351" s="159" t="s">
        <v>13</v>
      </c>
      <c r="H351" s="363">
        <f>+'Yr 1 Operating Statement of Act'!G353</f>
        <v>0</v>
      </c>
      <c r="I351" s="364"/>
      <c r="J351" s="364"/>
      <c r="K351" s="364"/>
      <c r="L351" s="364"/>
      <c r="M351" s="364"/>
      <c r="N351" s="364"/>
      <c r="O351" s="364"/>
      <c r="P351" s="364"/>
      <c r="Q351" s="364"/>
      <c r="R351" s="364"/>
      <c r="S351" s="365"/>
      <c r="T351" s="365">
        <f t="shared" ref="T351:T361" si="66">SUM(H351:S351)</f>
        <v>0</v>
      </c>
      <c r="U351" s="365"/>
      <c r="V351" s="365">
        <f t="shared" si="64"/>
        <v>0</v>
      </c>
    </row>
    <row r="352" spans="1:22" x14ac:dyDescent="0.2">
      <c r="A352" s="3" t="s">
        <v>440</v>
      </c>
      <c r="B352" s="225">
        <v>272</v>
      </c>
      <c r="C352" s="37"/>
      <c r="D352" s="10" t="s">
        <v>110</v>
      </c>
      <c r="E352" s="10"/>
      <c r="F352" s="19" t="s">
        <v>90</v>
      </c>
      <c r="G352" s="159" t="s">
        <v>196</v>
      </c>
      <c r="H352" s="363">
        <f>+'Yr 1 Operating Statement of Act'!G354</f>
        <v>0</v>
      </c>
      <c r="I352" s="364"/>
      <c r="J352" s="364"/>
      <c r="K352" s="364"/>
      <c r="L352" s="364"/>
      <c r="M352" s="364"/>
      <c r="N352" s="364"/>
      <c r="O352" s="364"/>
      <c r="P352" s="364"/>
      <c r="Q352" s="364"/>
      <c r="R352" s="364"/>
      <c r="S352" s="365"/>
      <c r="T352" s="365">
        <f t="shared" si="66"/>
        <v>0</v>
      </c>
      <c r="U352" s="365"/>
      <c r="V352" s="365">
        <f t="shared" si="64"/>
        <v>0</v>
      </c>
    </row>
    <row r="353" spans="1:22" x14ac:dyDescent="0.2">
      <c r="A353" s="3" t="s">
        <v>440</v>
      </c>
      <c r="B353" s="225">
        <v>273</v>
      </c>
      <c r="C353" s="37"/>
      <c r="D353" s="10" t="s">
        <v>295</v>
      </c>
      <c r="E353" s="10"/>
      <c r="F353" s="19" t="s">
        <v>97</v>
      </c>
      <c r="G353" s="159" t="s">
        <v>13</v>
      </c>
      <c r="H353" s="363">
        <f>+'Yr 1 Operating Statement of Act'!G355</f>
        <v>0</v>
      </c>
      <c r="I353" s="364"/>
      <c r="J353" s="364"/>
      <c r="K353" s="364"/>
      <c r="L353" s="364"/>
      <c r="M353" s="364"/>
      <c r="N353" s="364"/>
      <c r="O353" s="364"/>
      <c r="P353" s="364"/>
      <c r="Q353" s="364"/>
      <c r="R353" s="364"/>
      <c r="S353" s="365"/>
      <c r="T353" s="365">
        <f t="shared" si="66"/>
        <v>0</v>
      </c>
      <c r="U353" s="365"/>
      <c r="V353" s="365">
        <f t="shared" si="64"/>
        <v>0</v>
      </c>
    </row>
    <row r="354" spans="1:22" x14ac:dyDescent="0.2">
      <c r="A354" s="3" t="s">
        <v>440</v>
      </c>
      <c r="B354" s="225">
        <v>274</v>
      </c>
      <c r="C354" s="37"/>
      <c r="D354" s="10" t="s">
        <v>98</v>
      </c>
      <c r="E354" s="10"/>
      <c r="F354" s="19" t="s">
        <v>99</v>
      </c>
      <c r="G354" s="159" t="s">
        <v>13</v>
      </c>
      <c r="H354" s="363">
        <f>+'Yr 1 Operating Statement of Act'!G356</f>
        <v>0</v>
      </c>
      <c r="I354" s="364"/>
      <c r="J354" s="364"/>
      <c r="K354" s="364"/>
      <c r="L354" s="364"/>
      <c r="M354" s="364"/>
      <c r="N354" s="364"/>
      <c r="O354" s="364"/>
      <c r="P354" s="364"/>
      <c r="Q354" s="364"/>
      <c r="R354" s="364"/>
      <c r="S354" s="365"/>
      <c r="T354" s="365">
        <f t="shared" si="66"/>
        <v>0</v>
      </c>
      <c r="U354" s="365"/>
      <c r="V354" s="365">
        <f t="shared" si="64"/>
        <v>0</v>
      </c>
    </row>
    <row r="355" spans="1:22" x14ac:dyDescent="0.2">
      <c r="A355" s="3" t="s">
        <v>440</v>
      </c>
      <c r="B355" s="225">
        <v>275</v>
      </c>
      <c r="C355" s="37"/>
      <c r="D355" s="10" t="s">
        <v>100</v>
      </c>
      <c r="E355" s="10"/>
      <c r="F355" s="19" t="s">
        <v>101</v>
      </c>
      <c r="G355" s="159" t="s">
        <v>13</v>
      </c>
      <c r="H355" s="363">
        <f>+'Yr 1 Operating Statement of Act'!G357</f>
        <v>0</v>
      </c>
      <c r="I355" s="364"/>
      <c r="J355" s="364"/>
      <c r="K355" s="364"/>
      <c r="L355" s="364"/>
      <c r="M355" s="364"/>
      <c r="N355" s="364"/>
      <c r="O355" s="364"/>
      <c r="P355" s="364"/>
      <c r="Q355" s="364"/>
      <c r="R355" s="364"/>
      <c r="S355" s="365"/>
      <c r="T355" s="365">
        <f t="shared" si="66"/>
        <v>0</v>
      </c>
      <c r="U355" s="365"/>
      <c r="V355" s="365">
        <f t="shared" si="64"/>
        <v>0</v>
      </c>
    </row>
    <row r="356" spans="1:22" x14ac:dyDescent="0.2">
      <c r="A356" s="3" t="s">
        <v>440</v>
      </c>
      <c r="B356" s="225">
        <v>276</v>
      </c>
      <c r="C356" s="37"/>
      <c r="D356" s="10" t="s">
        <v>219</v>
      </c>
      <c r="E356" s="10"/>
      <c r="F356" s="19" t="s">
        <v>220</v>
      </c>
      <c r="G356" s="159" t="s">
        <v>13</v>
      </c>
      <c r="H356" s="363">
        <f>+'Yr 1 Operating Statement of Act'!G358</f>
        <v>0</v>
      </c>
      <c r="I356" s="364"/>
      <c r="J356" s="364"/>
      <c r="K356" s="364"/>
      <c r="L356" s="364"/>
      <c r="M356" s="364"/>
      <c r="N356" s="364"/>
      <c r="O356" s="364"/>
      <c r="P356" s="364"/>
      <c r="Q356" s="364"/>
      <c r="R356" s="364"/>
      <c r="S356" s="365"/>
      <c r="T356" s="365">
        <f t="shared" si="66"/>
        <v>0</v>
      </c>
      <c r="U356" s="365"/>
      <c r="V356" s="365">
        <f t="shared" si="64"/>
        <v>0</v>
      </c>
    </row>
    <row r="357" spans="1:22" x14ac:dyDescent="0.2">
      <c r="A357" s="3" t="s">
        <v>440</v>
      </c>
      <c r="B357" s="225">
        <v>277</v>
      </c>
      <c r="C357" s="37"/>
      <c r="D357" s="10" t="s">
        <v>102</v>
      </c>
      <c r="E357" s="10"/>
      <c r="F357" s="19" t="s">
        <v>103</v>
      </c>
      <c r="G357" s="159" t="s">
        <v>13</v>
      </c>
      <c r="H357" s="363">
        <f>+'Yr 1 Operating Statement of Act'!G359</f>
        <v>0</v>
      </c>
      <c r="I357" s="364"/>
      <c r="J357" s="364"/>
      <c r="K357" s="364"/>
      <c r="L357" s="364"/>
      <c r="M357" s="364"/>
      <c r="N357" s="364"/>
      <c r="O357" s="364"/>
      <c r="P357" s="364"/>
      <c r="Q357" s="364"/>
      <c r="R357" s="364"/>
      <c r="S357" s="365"/>
      <c r="T357" s="365">
        <f t="shared" si="66"/>
        <v>0</v>
      </c>
      <c r="U357" s="365"/>
      <c r="V357" s="365">
        <f t="shared" si="64"/>
        <v>0</v>
      </c>
    </row>
    <row r="358" spans="1:22" x14ac:dyDescent="0.2">
      <c r="A358" s="3" t="s">
        <v>440</v>
      </c>
      <c r="B358" s="225">
        <v>278</v>
      </c>
      <c r="C358" s="37"/>
      <c r="D358" s="10" t="s">
        <v>104</v>
      </c>
      <c r="E358" s="10"/>
      <c r="F358" s="19" t="s">
        <v>105</v>
      </c>
      <c r="G358" s="159" t="s">
        <v>13</v>
      </c>
      <c r="H358" s="363">
        <f>+'Yr 1 Operating Statement of Act'!G360</f>
        <v>0</v>
      </c>
      <c r="I358" s="364"/>
      <c r="J358" s="364"/>
      <c r="K358" s="364"/>
      <c r="L358" s="364"/>
      <c r="M358" s="364"/>
      <c r="N358" s="364"/>
      <c r="O358" s="364"/>
      <c r="P358" s="364"/>
      <c r="Q358" s="364"/>
      <c r="R358" s="364"/>
      <c r="S358" s="365"/>
      <c r="T358" s="365">
        <f t="shared" si="66"/>
        <v>0</v>
      </c>
      <c r="U358" s="365"/>
      <c r="V358" s="365">
        <f t="shared" si="64"/>
        <v>0</v>
      </c>
    </row>
    <row r="359" spans="1:22" x14ac:dyDescent="0.2">
      <c r="A359" s="3" t="s">
        <v>440</v>
      </c>
      <c r="B359" s="225">
        <v>279</v>
      </c>
      <c r="C359" s="37"/>
      <c r="D359" s="86" t="s">
        <v>283</v>
      </c>
      <c r="E359" s="10"/>
      <c r="F359" s="19"/>
      <c r="G359" s="159"/>
      <c r="H359" s="363"/>
      <c r="I359" s="364"/>
      <c r="J359" s="364"/>
      <c r="K359" s="364"/>
      <c r="L359" s="364"/>
      <c r="M359" s="364"/>
      <c r="N359" s="364"/>
      <c r="O359" s="364"/>
      <c r="P359" s="364"/>
      <c r="Q359" s="364"/>
      <c r="R359" s="364"/>
      <c r="S359" s="365"/>
      <c r="T359" s="365">
        <f t="shared" si="66"/>
        <v>0</v>
      </c>
      <c r="U359" s="365"/>
      <c r="V359" s="365">
        <f t="shared" si="64"/>
        <v>0</v>
      </c>
    </row>
    <row r="360" spans="1:22" x14ac:dyDescent="0.2">
      <c r="A360" s="3" t="s">
        <v>440</v>
      </c>
      <c r="B360" s="225">
        <v>280</v>
      </c>
      <c r="C360" s="37"/>
      <c r="D360" s="86"/>
      <c r="E360" s="10"/>
      <c r="F360" s="19"/>
      <c r="G360" s="159"/>
      <c r="H360" s="363"/>
      <c r="I360" s="364"/>
      <c r="J360" s="364"/>
      <c r="K360" s="364"/>
      <c r="L360" s="364"/>
      <c r="M360" s="364"/>
      <c r="N360" s="364"/>
      <c r="O360" s="364"/>
      <c r="P360" s="364"/>
      <c r="Q360" s="364"/>
      <c r="R360" s="364"/>
      <c r="S360" s="365"/>
      <c r="T360" s="365">
        <f t="shared" si="66"/>
        <v>0</v>
      </c>
      <c r="U360" s="365"/>
      <c r="V360" s="365">
        <f t="shared" si="64"/>
        <v>0</v>
      </c>
    </row>
    <row r="361" spans="1:22" x14ac:dyDescent="0.2">
      <c r="A361" s="3" t="s">
        <v>440</v>
      </c>
      <c r="B361" s="225"/>
      <c r="C361" s="84"/>
      <c r="E361" s="14"/>
      <c r="F361" s="15"/>
      <c r="G361" s="167"/>
      <c r="H361" s="380"/>
      <c r="I361" s="381"/>
      <c r="J361" s="381"/>
      <c r="K361" s="381"/>
      <c r="L361" s="381"/>
      <c r="M361" s="381"/>
      <c r="N361" s="381"/>
      <c r="O361" s="381"/>
      <c r="P361" s="381"/>
      <c r="Q361" s="381"/>
      <c r="R361" s="381"/>
      <c r="S361" s="382"/>
      <c r="T361" s="365">
        <f t="shared" si="66"/>
        <v>0</v>
      </c>
      <c r="U361" s="365"/>
      <c r="V361" s="365">
        <f t="shared" si="64"/>
        <v>0</v>
      </c>
    </row>
    <row r="362" spans="1:22" ht="15" x14ac:dyDescent="0.25">
      <c r="A362" s="3" t="s">
        <v>440</v>
      </c>
      <c r="B362" s="226">
        <v>281</v>
      </c>
      <c r="C362" s="88" t="s">
        <v>290</v>
      </c>
      <c r="D362" s="52"/>
      <c r="E362" s="52"/>
      <c r="F362" s="50"/>
      <c r="G362" s="163"/>
      <c r="H362" s="372">
        <f t="shared" ref="H362:U362" si="67">SUM(H351:H361)</f>
        <v>0</v>
      </c>
      <c r="I362" s="373">
        <f t="shared" si="67"/>
        <v>0</v>
      </c>
      <c r="J362" s="373">
        <f t="shared" si="67"/>
        <v>0</v>
      </c>
      <c r="K362" s="373">
        <f t="shared" si="67"/>
        <v>0</v>
      </c>
      <c r="L362" s="373">
        <f t="shared" si="67"/>
        <v>0</v>
      </c>
      <c r="M362" s="373">
        <f t="shared" si="67"/>
        <v>0</v>
      </c>
      <c r="N362" s="373">
        <f t="shared" si="67"/>
        <v>0</v>
      </c>
      <c r="O362" s="373">
        <f t="shared" si="67"/>
        <v>0</v>
      </c>
      <c r="P362" s="373">
        <f t="shared" si="67"/>
        <v>0</v>
      </c>
      <c r="Q362" s="373">
        <f t="shared" si="67"/>
        <v>0</v>
      </c>
      <c r="R362" s="373">
        <f t="shared" si="67"/>
        <v>0</v>
      </c>
      <c r="S362" s="374">
        <f t="shared" si="67"/>
        <v>0</v>
      </c>
      <c r="T362" s="374">
        <f t="shared" si="67"/>
        <v>0</v>
      </c>
      <c r="U362" s="374">
        <f t="shared" si="67"/>
        <v>0</v>
      </c>
      <c r="V362" s="374">
        <f t="shared" si="64"/>
        <v>0</v>
      </c>
    </row>
    <row r="363" spans="1:22" ht="15.75" thickBot="1" x14ac:dyDescent="0.3">
      <c r="A363" s="3" t="s">
        <v>440</v>
      </c>
      <c r="B363" s="225"/>
      <c r="C363" s="81"/>
      <c r="D363" s="11"/>
      <c r="E363" s="11"/>
      <c r="F363" s="19"/>
      <c r="G363" s="159"/>
      <c r="H363" s="363"/>
      <c r="I363" s="364"/>
      <c r="J363" s="364"/>
      <c r="K363" s="364"/>
      <c r="L363" s="364"/>
      <c r="M363" s="364"/>
      <c r="N363" s="364"/>
      <c r="O363" s="364"/>
      <c r="P363" s="364"/>
      <c r="Q363" s="364"/>
      <c r="R363" s="364"/>
      <c r="S363" s="365"/>
      <c r="T363" s="365"/>
      <c r="U363" s="365"/>
      <c r="V363" s="365">
        <f t="shared" si="64"/>
        <v>0</v>
      </c>
    </row>
    <row r="364" spans="1:22" ht="15" x14ac:dyDescent="0.25">
      <c r="A364" s="3" t="s">
        <v>440</v>
      </c>
      <c r="B364" s="232"/>
      <c r="C364" s="116" t="s">
        <v>231</v>
      </c>
      <c r="D364" s="124"/>
      <c r="E364" s="124"/>
      <c r="F364" s="136"/>
      <c r="G364" s="175"/>
      <c r="H364" s="404"/>
      <c r="I364" s="405"/>
      <c r="J364" s="405"/>
      <c r="K364" s="405"/>
      <c r="L364" s="405"/>
      <c r="M364" s="405"/>
      <c r="N364" s="405"/>
      <c r="O364" s="405"/>
      <c r="P364" s="405"/>
      <c r="Q364" s="405"/>
      <c r="R364" s="405"/>
      <c r="S364" s="406"/>
      <c r="T364" s="406"/>
      <c r="U364" s="406"/>
      <c r="V364" s="406"/>
    </row>
    <row r="365" spans="1:22" ht="15.75" thickBot="1" x14ac:dyDescent="0.3">
      <c r="A365" s="3" t="s">
        <v>440</v>
      </c>
      <c r="B365" s="233">
        <v>282</v>
      </c>
      <c r="C365" s="132"/>
      <c r="D365" s="118"/>
      <c r="E365" s="118" t="s">
        <v>197</v>
      </c>
      <c r="F365" s="128"/>
      <c r="G365" s="176"/>
      <c r="H365" s="356">
        <f t="shared" ref="H365:U365" si="68">H347+H362</f>
        <v>441.66666666666669</v>
      </c>
      <c r="I365" s="357">
        <f t="shared" si="68"/>
        <v>441.66666666666669</v>
      </c>
      <c r="J365" s="357">
        <f t="shared" si="68"/>
        <v>10339.393939393938</v>
      </c>
      <c r="K365" s="357">
        <f t="shared" si="68"/>
        <v>9349.621212121212</v>
      </c>
      <c r="L365" s="357">
        <f t="shared" si="68"/>
        <v>9844.507575757576</v>
      </c>
      <c r="M365" s="357">
        <f t="shared" si="68"/>
        <v>8359.8484848484841</v>
      </c>
      <c r="N365" s="357">
        <f t="shared" si="68"/>
        <v>6380.30303030303</v>
      </c>
      <c r="O365" s="357">
        <f t="shared" si="68"/>
        <v>10339.393939393938</v>
      </c>
      <c r="P365" s="357">
        <f t="shared" si="68"/>
        <v>10339.393939393938</v>
      </c>
      <c r="Q365" s="357">
        <f t="shared" si="68"/>
        <v>6875.1893939393949</v>
      </c>
      <c r="R365" s="357">
        <f t="shared" si="68"/>
        <v>10834.280303030302</v>
      </c>
      <c r="S365" s="358">
        <f t="shared" si="68"/>
        <v>8854.734848484848</v>
      </c>
      <c r="T365" s="358">
        <f t="shared" si="68"/>
        <v>92399.999999999985</v>
      </c>
      <c r="U365" s="358">
        <f t="shared" si="68"/>
        <v>0</v>
      </c>
      <c r="V365" s="358">
        <f t="shared" si="64"/>
        <v>92399.999999999985</v>
      </c>
    </row>
    <row r="366" spans="1:22" s="5" customFormat="1" ht="15" x14ac:dyDescent="0.25">
      <c r="A366" s="3" t="s">
        <v>440</v>
      </c>
      <c r="B366" s="230"/>
      <c r="C366" s="133" t="s">
        <v>18</v>
      </c>
      <c r="D366" s="57"/>
      <c r="E366" s="57"/>
      <c r="F366" s="72"/>
      <c r="G366" s="157"/>
      <c r="H366" s="389"/>
      <c r="I366" s="371"/>
      <c r="J366" s="371"/>
      <c r="K366" s="371"/>
      <c r="L366" s="371"/>
      <c r="M366" s="371"/>
      <c r="N366" s="371"/>
      <c r="O366" s="371"/>
      <c r="P366" s="371"/>
      <c r="Q366" s="371"/>
      <c r="R366" s="371"/>
      <c r="S366" s="390"/>
      <c r="T366" s="390"/>
      <c r="U366" s="390"/>
      <c r="V366" s="390"/>
    </row>
    <row r="367" spans="1:22" x14ac:dyDescent="0.2">
      <c r="A367" s="3" t="s">
        <v>440</v>
      </c>
      <c r="B367" s="225">
        <v>283</v>
      </c>
      <c r="C367" s="37"/>
      <c r="D367" s="10" t="s">
        <v>199</v>
      </c>
      <c r="E367" s="10"/>
      <c r="F367" s="19" t="s">
        <v>200</v>
      </c>
      <c r="G367" s="159" t="s">
        <v>201</v>
      </c>
      <c r="H367" s="363">
        <f>+'Yr 1 Operating Statement of Act'!G369</f>
        <v>0</v>
      </c>
      <c r="I367" s="364"/>
      <c r="J367" s="364"/>
      <c r="K367" s="364"/>
      <c r="L367" s="364"/>
      <c r="M367" s="364"/>
      <c r="N367" s="364"/>
      <c r="O367" s="364"/>
      <c r="P367" s="364"/>
      <c r="Q367" s="364"/>
      <c r="R367" s="364"/>
      <c r="S367" s="365"/>
      <c r="T367" s="365">
        <f t="shared" ref="T367:T374" si="69">SUM(H367:S367)</f>
        <v>0</v>
      </c>
      <c r="U367" s="365"/>
      <c r="V367" s="365">
        <f t="shared" si="64"/>
        <v>0</v>
      </c>
    </row>
    <row r="368" spans="1:22" x14ac:dyDescent="0.2">
      <c r="A368" s="3" t="s">
        <v>440</v>
      </c>
      <c r="B368" s="225">
        <v>284</v>
      </c>
      <c r="C368" s="37"/>
      <c r="D368" s="10" t="s">
        <v>202</v>
      </c>
      <c r="E368" s="10"/>
      <c r="F368" s="19" t="s">
        <v>203</v>
      </c>
      <c r="G368" s="159" t="s">
        <v>198</v>
      </c>
      <c r="H368" s="363">
        <f>+'Yr 1 Operating Statement of Act'!G370</f>
        <v>0</v>
      </c>
      <c r="I368" s="364"/>
      <c r="J368" s="364"/>
      <c r="K368" s="364"/>
      <c r="L368" s="364"/>
      <c r="M368" s="364"/>
      <c r="N368" s="364"/>
      <c r="O368" s="364"/>
      <c r="P368" s="364"/>
      <c r="Q368" s="364"/>
      <c r="R368" s="364"/>
      <c r="S368" s="365"/>
      <c r="T368" s="365">
        <f t="shared" si="69"/>
        <v>0</v>
      </c>
      <c r="U368" s="365"/>
      <c r="V368" s="365">
        <f t="shared" si="64"/>
        <v>0</v>
      </c>
    </row>
    <row r="369" spans="1:22" x14ac:dyDescent="0.2">
      <c r="A369" s="3" t="s">
        <v>440</v>
      </c>
      <c r="B369" s="225">
        <v>285</v>
      </c>
      <c r="C369" s="37"/>
      <c r="D369" s="10" t="s">
        <v>204</v>
      </c>
      <c r="E369" s="10"/>
      <c r="F369" s="19" t="s">
        <v>203</v>
      </c>
      <c r="G369" s="159" t="s">
        <v>205</v>
      </c>
      <c r="H369" s="363">
        <f>+'Yr 1 Operating Statement of Act'!G371</f>
        <v>0</v>
      </c>
      <c r="I369" s="364"/>
      <c r="J369" s="364"/>
      <c r="K369" s="364"/>
      <c r="L369" s="364"/>
      <c r="M369" s="364"/>
      <c r="N369" s="364"/>
      <c r="O369" s="364"/>
      <c r="P369" s="364"/>
      <c r="Q369" s="364"/>
      <c r="R369" s="364"/>
      <c r="S369" s="365"/>
      <c r="T369" s="365">
        <f t="shared" si="69"/>
        <v>0</v>
      </c>
      <c r="U369" s="365"/>
      <c r="V369" s="365">
        <f t="shared" si="64"/>
        <v>0</v>
      </c>
    </row>
    <row r="370" spans="1:22" x14ac:dyDescent="0.2">
      <c r="A370" s="3" t="s">
        <v>440</v>
      </c>
      <c r="B370" s="225">
        <v>286</v>
      </c>
      <c r="C370" s="37"/>
      <c r="D370" s="10" t="s">
        <v>93</v>
      </c>
      <c r="E370" s="10"/>
      <c r="F370" s="19" t="s">
        <v>94</v>
      </c>
      <c r="G370" s="159" t="s">
        <v>198</v>
      </c>
      <c r="H370" s="363">
        <f>+'Yr 1 Operating Statement of Act'!G372</f>
        <v>0</v>
      </c>
      <c r="I370" s="364"/>
      <c r="J370" s="364"/>
      <c r="K370" s="364"/>
      <c r="L370" s="364"/>
      <c r="M370" s="364"/>
      <c r="N370" s="364"/>
      <c r="O370" s="364"/>
      <c r="P370" s="364"/>
      <c r="Q370" s="364"/>
      <c r="R370" s="364"/>
      <c r="S370" s="365"/>
      <c r="T370" s="365">
        <f t="shared" si="69"/>
        <v>0</v>
      </c>
      <c r="U370" s="365"/>
      <c r="V370" s="365">
        <f t="shared" si="64"/>
        <v>0</v>
      </c>
    </row>
    <row r="371" spans="1:22" x14ac:dyDescent="0.2">
      <c r="A371" s="3" t="s">
        <v>440</v>
      </c>
      <c r="B371" s="225">
        <v>287</v>
      </c>
      <c r="C371" s="37"/>
      <c r="D371" s="10" t="s">
        <v>85</v>
      </c>
      <c r="E371" s="10"/>
      <c r="F371" s="19" t="s">
        <v>86</v>
      </c>
      <c r="G371" s="159" t="s">
        <v>206</v>
      </c>
      <c r="H371" s="363">
        <f>+'Yr 1 Operating Statement of Act'!G373</f>
        <v>0</v>
      </c>
      <c r="I371" s="364"/>
      <c r="J371" s="364"/>
      <c r="K371" s="364"/>
      <c r="L371" s="364"/>
      <c r="M371" s="364"/>
      <c r="N371" s="364"/>
      <c r="O371" s="364"/>
      <c r="P371" s="364"/>
      <c r="Q371" s="364"/>
      <c r="R371" s="364"/>
      <c r="S371" s="365"/>
      <c r="T371" s="365">
        <f t="shared" si="69"/>
        <v>0</v>
      </c>
      <c r="U371" s="365"/>
      <c r="V371" s="365">
        <f t="shared" si="64"/>
        <v>0</v>
      </c>
    </row>
    <row r="372" spans="1:22" x14ac:dyDescent="0.2">
      <c r="A372" s="3" t="s">
        <v>440</v>
      </c>
      <c r="B372" s="225">
        <v>288</v>
      </c>
      <c r="C372" s="37"/>
      <c r="D372" s="86" t="s">
        <v>283</v>
      </c>
      <c r="E372" s="10"/>
      <c r="F372" s="19"/>
      <c r="G372" s="159"/>
      <c r="H372" s="363"/>
      <c r="I372" s="364"/>
      <c r="J372" s="364"/>
      <c r="K372" s="364"/>
      <c r="L372" s="364"/>
      <c r="M372" s="364"/>
      <c r="N372" s="364"/>
      <c r="O372" s="364"/>
      <c r="P372" s="364"/>
      <c r="Q372" s="364"/>
      <c r="R372" s="364"/>
      <c r="S372" s="365"/>
      <c r="T372" s="365">
        <f t="shared" si="69"/>
        <v>0</v>
      </c>
      <c r="U372" s="365"/>
      <c r="V372" s="365">
        <f t="shared" si="64"/>
        <v>0</v>
      </c>
    </row>
    <row r="373" spans="1:22" x14ac:dyDescent="0.2">
      <c r="A373" s="3" t="s">
        <v>440</v>
      </c>
      <c r="B373" s="225">
        <v>289</v>
      </c>
      <c r="C373" s="37"/>
      <c r="D373" s="86"/>
      <c r="E373" s="10"/>
      <c r="F373" s="19"/>
      <c r="G373" s="159"/>
      <c r="H373" s="363"/>
      <c r="I373" s="364"/>
      <c r="J373" s="364"/>
      <c r="K373" s="364"/>
      <c r="L373" s="364"/>
      <c r="M373" s="364"/>
      <c r="N373" s="364"/>
      <c r="O373" s="364"/>
      <c r="P373" s="364"/>
      <c r="Q373" s="364"/>
      <c r="R373" s="364"/>
      <c r="S373" s="365"/>
      <c r="T373" s="365">
        <f t="shared" si="69"/>
        <v>0</v>
      </c>
      <c r="U373" s="365"/>
      <c r="V373" s="365">
        <f t="shared" si="64"/>
        <v>0</v>
      </c>
    </row>
    <row r="374" spans="1:22" ht="15" thickBot="1" x14ac:dyDescent="0.25">
      <c r="A374" s="3" t="s">
        <v>440</v>
      </c>
      <c r="B374" s="225">
        <v>290</v>
      </c>
      <c r="C374" s="84"/>
      <c r="E374" s="14"/>
      <c r="F374" s="15"/>
      <c r="G374" s="167"/>
      <c r="H374" s="380"/>
      <c r="I374" s="381"/>
      <c r="J374" s="381"/>
      <c r="K374" s="381"/>
      <c r="L374" s="381"/>
      <c r="M374" s="381"/>
      <c r="N374" s="381"/>
      <c r="O374" s="381"/>
      <c r="P374" s="381"/>
      <c r="Q374" s="381"/>
      <c r="R374" s="381"/>
      <c r="S374" s="382"/>
      <c r="T374" s="365">
        <f t="shared" si="69"/>
        <v>0</v>
      </c>
      <c r="U374" s="365"/>
      <c r="V374" s="365">
        <f t="shared" si="64"/>
        <v>0</v>
      </c>
    </row>
    <row r="375" spans="1:22" ht="15" x14ac:dyDescent="0.25">
      <c r="A375" s="3" t="s">
        <v>440</v>
      </c>
      <c r="B375" s="232"/>
      <c r="C375" s="116" t="s">
        <v>207</v>
      </c>
      <c r="D375" s="124"/>
      <c r="E375" s="124"/>
      <c r="F375" s="136"/>
      <c r="G375" s="175"/>
      <c r="H375" s="404"/>
      <c r="I375" s="405"/>
      <c r="J375" s="405"/>
      <c r="K375" s="405"/>
      <c r="L375" s="405"/>
      <c r="M375" s="405"/>
      <c r="N375" s="405"/>
      <c r="O375" s="405"/>
      <c r="P375" s="405"/>
      <c r="Q375" s="405"/>
      <c r="R375" s="405"/>
      <c r="S375" s="406"/>
      <c r="T375" s="406"/>
      <c r="U375" s="406"/>
      <c r="V375" s="406"/>
    </row>
    <row r="376" spans="1:22" ht="15.75" thickBot="1" x14ac:dyDescent="0.3">
      <c r="A376" s="3" t="s">
        <v>440</v>
      </c>
      <c r="B376" s="233">
        <v>291</v>
      </c>
      <c r="C376" s="125"/>
      <c r="D376" s="126"/>
      <c r="E376" s="118" t="s">
        <v>2</v>
      </c>
      <c r="F376" s="128"/>
      <c r="G376" s="176"/>
      <c r="H376" s="356">
        <f t="shared" ref="H376:U376" si="70">SUM(H367:H374)</f>
        <v>0</v>
      </c>
      <c r="I376" s="357">
        <f t="shared" si="70"/>
        <v>0</v>
      </c>
      <c r="J376" s="357">
        <f t="shared" si="70"/>
        <v>0</v>
      </c>
      <c r="K376" s="357">
        <f t="shared" si="70"/>
        <v>0</v>
      </c>
      <c r="L376" s="357">
        <f t="shared" si="70"/>
        <v>0</v>
      </c>
      <c r="M376" s="357">
        <f t="shared" si="70"/>
        <v>0</v>
      </c>
      <c r="N376" s="357">
        <f t="shared" si="70"/>
        <v>0</v>
      </c>
      <c r="O376" s="357">
        <f t="shared" si="70"/>
        <v>0</v>
      </c>
      <c r="P376" s="357">
        <f t="shared" si="70"/>
        <v>0</v>
      </c>
      <c r="Q376" s="357">
        <f t="shared" si="70"/>
        <v>0</v>
      </c>
      <c r="R376" s="357">
        <f t="shared" si="70"/>
        <v>0</v>
      </c>
      <c r="S376" s="358">
        <f t="shared" si="70"/>
        <v>0</v>
      </c>
      <c r="T376" s="358">
        <f t="shared" si="70"/>
        <v>0</v>
      </c>
      <c r="U376" s="358">
        <f t="shared" si="70"/>
        <v>0</v>
      </c>
      <c r="V376" s="358">
        <f t="shared" si="64"/>
        <v>0</v>
      </c>
    </row>
    <row r="377" spans="1:22" x14ac:dyDescent="0.2">
      <c r="A377" s="3" t="s">
        <v>440</v>
      </c>
      <c r="B377" s="230"/>
      <c r="C377" s="36"/>
      <c r="D377" s="13"/>
      <c r="E377" s="13"/>
      <c r="F377" s="17"/>
      <c r="G377" s="171"/>
      <c r="H377" s="375"/>
      <c r="I377" s="376"/>
      <c r="J377" s="376"/>
      <c r="K377" s="376"/>
      <c r="L377" s="376"/>
      <c r="M377" s="376"/>
      <c r="N377" s="376"/>
      <c r="O377" s="376"/>
      <c r="P377" s="376"/>
      <c r="Q377" s="376"/>
      <c r="R377" s="376"/>
      <c r="S377" s="377"/>
      <c r="T377" s="377"/>
      <c r="U377" s="377"/>
      <c r="V377" s="377">
        <f t="shared" si="64"/>
        <v>0</v>
      </c>
    </row>
    <row r="378" spans="1:22" s="5" customFormat="1" ht="15" x14ac:dyDescent="0.25">
      <c r="A378" s="3" t="s">
        <v>440</v>
      </c>
      <c r="B378" s="225"/>
      <c r="C378" s="53" t="s">
        <v>286</v>
      </c>
      <c r="D378" s="54"/>
      <c r="E378" s="54"/>
      <c r="F378" s="62"/>
      <c r="G378" s="158"/>
      <c r="H378" s="378"/>
      <c r="I378" s="366"/>
      <c r="J378" s="366"/>
      <c r="K378" s="366"/>
      <c r="L378" s="366"/>
      <c r="M378" s="366"/>
      <c r="N378" s="366"/>
      <c r="O378" s="366"/>
      <c r="P378" s="366"/>
      <c r="Q378" s="366"/>
      <c r="R378" s="366"/>
      <c r="S378" s="379"/>
      <c r="T378" s="379"/>
      <c r="U378" s="379"/>
      <c r="V378" s="379"/>
    </row>
    <row r="379" spans="1:22" x14ac:dyDescent="0.2">
      <c r="A379" s="3" t="s">
        <v>440</v>
      </c>
      <c r="B379" s="225"/>
      <c r="C379" s="37"/>
      <c r="D379" s="10" t="s">
        <v>31</v>
      </c>
      <c r="E379" s="10"/>
      <c r="F379" s="62"/>
      <c r="G379" s="158"/>
      <c r="H379" s="378"/>
      <c r="I379" s="366"/>
      <c r="J379" s="366"/>
      <c r="K379" s="366"/>
      <c r="L379" s="366"/>
      <c r="M379" s="366"/>
      <c r="N379" s="366"/>
      <c r="O379" s="366"/>
      <c r="P379" s="366"/>
      <c r="Q379" s="366"/>
      <c r="R379" s="366"/>
      <c r="S379" s="379"/>
      <c r="T379" s="379"/>
      <c r="U379" s="379"/>
      <c r="V379" s="379"/>
    </row>
    <row r="380" spans="1:22" x14ac:dyDescent="0.2">
      <c r="A380" s="3" t="s">
        <v>440</v>
      </c>
      <c r="B380" s="225">
        <v>292</v>
      </c>
      <c r="C380" s="37"/>
      <c r="D380" s="10"/>
      <c r="E380" s="10" t="s">
        <v>209</v>
      </c>
      <c r="F380" s="19" t="s">
        <v>149</v>
      </c>
      <c r="G380" s="159" t="s">
        <v>208</v>
      </c>
      <c r="H380" s="363">
        <f>+'Yr 1 Operating Statement of Act'!G382</f>
        <v>0</v>
      </c>
      <c r="I380" s="364"/>
      <c r="J380" s="364"/>
      <c r="K380" s="364"/>
      <c r="L380" s="364"/>
      <c r="M380" s="364"/>
      <c r="N380" s="364"/>
      <c r="O380" s="364"/>
      <c r="P380" s="364"/>
      <c r="Q380" s="364"/>
      <c r="R380" s="364"/>
      <c r="S380" s="365"/>
      <c r="T380" s="365">
        <f t="shared" ref="T380:T386" si="71">SUM(H380:S380)</f>
        <v>0</v>
      </c>
      <c r="U380" s="365"/>
      <c r="V380" s="365">
        <f t="shared" si="64"/>
        <v>0</v>
      </c>
    </row>
    <row r="381" spans="1:22" x14ac:dyDescent="0.2">
      <c r="A381" s="3" t="s">
        <v>440</v>
      </c>
      <c r="B381" s="225">
        <v>293</v>
      </c>
      <c r="C381" s="37"/>
      <c r="D381" s="10"/>
      <c r="E381" s="10" t="s">
        <v>210</v>
      </c>
      <c r="F381" s="19" t="s">
        <v>152</v>
      </c>
      <c r="G381" s="159" t="s">
        <v>208</v>
      </c>
      <c r="H381" s="363">
        <f>+'Yr 1 Operating Statement of Act'!G383</f>
        <v>0</v>
      </c>
      <c r="I381" s="364"/>
      <c r="J381" s="364"/>
      <c r="K381" s="364"/>
      <c r="L381" s="364"/>
      <c r="M381" s="364"/>
      <c r="N381" s="364"/>
      <c r="O381" s="364"/>
      <c r="P381" s="364"/>
      <c r="Q381" s="364"/>
      <c r="R381" s="364"/>
      <c r="S381" s="365"/>
      <c r="T381" s="365">
        <f t="shared" si="71"/>
        <v>0</v>
      </c>
      <c r="U381" s="365"/>
      <c r="V381" s="365">
        <f t="shared" si="64"/>
        <v>0</v>
      </c>
    </row>
    <row r="382" spans="1:22" x14ac:dyDescent="0.2">
      <c r="A382" s="3" t="s">
        <v>440</v>
      </c>
      <c r="B382" s="225">
        <v>294</v>
      </c>
      <c r="C382" s="37"/>
      <c r="D382" s="10"/>
      <c r="E382" s="10" t="s">
        <v>211</v>
      </c>
      <c r="F382" s="19" t="s">
        <v>212</v>
      </c>
      <c r="G382" s="159" t="s">
        <v>208</v>
      </c>
      <c r="H382" s="363">
        <f>+'Yr 1 Operating Statement of Act'!G384</f>
        <v>0</v>
      </c>
      <c r="I382" s="364"/>
      <c r="J382" s="364"/>
      <c r="K382" s="364"/>
      <c r="L382" s="364"/>
      <c r="M382" s="364"/>
      <c r="N382" s="364"/>
      <c r="O382" s="364"/>
      <c r="P382" s="364"/>
      <c r="Q382" s="364"/>
      <c r="R382" s="364"/>
      <c r="S382" s="365"/>
      <c r="T382" s="365">
        <f t="shared" si="71"/>
        <v>0</v>
      </c>
      <c r="U382" s="365"/>
      <c r="V382" s="365">
        <f t="shared" si="64"/>
        <v>0</v>
      </c>
    </row>
    <row r="383" spans="1:22" x14ac:dyDescent="0.2">
      <c r="A383" s="3" t="s">
        <v>440</v>
      </c>
      <c r="B383" s="225">
        <v>295</v>
      </c>
      <c r="C383" s="37"/>
      <c r="D383" s="10"/>
      <c r="E383" s="10" t="s">
        <v>95</v>
      </c>
      <c r="F383" s="19" t="s">
        <v>96</v>
      </c>
      <c r="G383" s="159" t="s">
        <v>208</v>
      </c>
      <c r="H383" s="363">
        <f>+'Yr 1 Operating Statement of Act'!G385</f>
        <v>0</v>
      </c>
      <c r="I383" s="364"/>
      <c r="J383" s="364"/>
      <c r="K383" s="364"/>
      <c r="L383" s="364"/>
      <c r="M383" s="364"/>
      <c r="N383" s="364"/>
      <c r="O383" s="364"/>
      <c r="P383" s="364"/>
      <c r="Q383" s="364"/>
      <c r="R383" s="364"/>
      <c r="S383" s="365"/>
      <c r="T383" s="365">
        <f t="shared" si="71"/>
        <v>0</v>
      </c>
      <c r="U383" s="365"/>
      <c r="V383" s="365">
        <f t="shared" si="64"/>
        <v>0</v>
      </c>
    </row>
    <row r="384" spans="1:22" x14ac:dyDescent="0.2">
      <c r="A384" s="3" t="s">
        <v>440</v>
      </c>
      <c r="B384" s="225">
        <v>296</v>
      </c>
      <c r="C384" s="37"/>
      <c r="D384" s="86" t="s">
        <v>283</v>
      </c>
      <c r="E384" s="10"/>
      <c r="F384" s="19"/>
      <c r="G384" s="159"/>
      <c r="H384" s="363"/>
      <c r="I384" s="364"/>
      <c r="J384" s="364"/>
      <c r="K384" s="364"/>
      <c r="L384" s="364"/>
      <c r="M384" s="364"/>
      <c r="N384" s="364"/>
      <c r="O384" s="364"/>
      <c r="P384" s="364"/>
      <c r="Q384" s="364"/>
      <c r="R384" s="364"/>
      <c r="S384" s="365"/>
      <c r="T384" s="365">
        <f t="shared" si="71"/>
        <v>0</v>
      </c>
      <c r="U384" s="365"/>
      <c r="V384" s="365">
        <f t="shared" si="64"/>
        <v>0</v>
      </c>
    </row>
    <row r="385" spans="1:22" x14ac:dyDescent="0.2">
      <c r="A385" s="3" t="s">
        <v>440</v>
      </c>
      <c r="B385" s="225">
        <v>297</v>
      </c>
      <c r="C385" s="37"/>
      <c r="D385" s="86"/>
      <c r="E385" s="10"/>
      <c r="F385" s="19"/>
      <c r="G385" s="159"/>
      <c r="H385" s="363"/>
      <c r="I385" s="364"/>
      <c r="J385" s="364"/>
      <c r="K385" s="364"/>
      <c r="L385" s="364"/>
      <c r="M385" s="364"/>
      <c r="N385" s="364"/>
      <c r="O385" s="364"/>
      <c r="P385" s="364"/>
      <c r="Q385" s="364"/>
      <c r="R385" s="364"/>
      <c r="S385" s="365"/>
      <c r="T385" s="365">
        <f t="shared" si="71"/>
        <v>0</v>
      </c>
      <c r="U385" s="365"/>
      <c r="V385" s="365">
        <f t="shared" si="64"/>
        <v>0</v>
      </c>
    </row>
    <row r="386" spans="1:22" ht="15" thickBot="1" x14ac:dyDescent="0.25">
      <c r="A386" s="3" t="s">
        <v>440</v>
      </c>
      <c r="B386" s="225">
        <v>298</v>
      </c>
      <c r="C386" s="84"/>
      <c r="E386" s="14"/>
      <c r="F386" s="15"/>
      <c r="G386" s="167"/>
      <c r="H386" s="380"/>
      <c r="I386" s="381"/>
      <c r="J386" s="381"/>
      <c r="K386" s="381"/>
      <c r="L386" s="381"/>
      <c r="M386" s="381"/>
      <c r="N386" s="381"/>
      <c r="O386" s="381"/>
      <c r="P386" s="381"/>
      <c r="Q386" s="381"/>
      <c r="R386" s="381"/>
      <c r="S386" s="382"/>
      <c r="T386" s="365">
        <f t="shared" si="71"/>
        <v>0</v>
      </c>
      <c r="U386" s="365"/>
      <c r="V386" s="365">
        <f t="shared" si="64"/>
        <v>0</v>
      </c>
    </row>
    <row r="387" spans="1:22" ht="15.75" thickBot="1" x14ac:dyDescent="0.3">
      <c r="A387" s="3" t="s">
        <v>440</v>
      </c>
      <c r="B387" s="229">
        <v>299</v>
      </c>
      <c r="C387" s="76" t="s">
        <v>287</v>
      </c>
      <c r="D387" s="77"/>
      <c r="E387" s="77"/>
      <c r="F387" s="46"/>
      <c r="G387" s="166"/>
      <c r="H387" s="360">
        <f t="shared" ref="H387:U387" si="72">SUM(H380:H386)</f>
        <v>0</v>
      </c>
      <c r="I387" s="361">
        <f t="shared" si="72"/>
        <v>0</v>
      </c>
      <c r="J387" s="361">
        <f t="shared" si="72"/>
        <v>0</v>
      </c>
      <c r="K387" s="361">
        <f t="shared" si="72"/>
        <v>0</v>
      </c>
      <c r="L387" s="361">
        <f t="shared" si="72"/>
        <v>0</v>
      </c>
      <c r="M387" s="361">
        <f t="shared" si="72"/>
        <v>0</v>
      </c>
      <c r="N387" s="361">
        <f t="shared" si="72"/>
        <v>0</v>
      </c>
      <c r="O387" s="361">
        <f t="shared" si="72"/>
        <v>0</v>
      </c>
      <c r="P387" s="361">
        <f t="shared" si="72"/>
        <v>0</v>
      </c>
      <c r="Q387" s="361">
        <f t="shared" si="72"/>
        <v>0</v>
      </c>
      <c r="R387" s="361">
        <f t="shared" si="72"/>
        <v>0</v>
      </c>
      <c r="S387" s="362">
        <f t="shared" si="72"/>
        <v>0</v>
      </c>
      <c r="T387" s="362">
        <f t="shared" si="72"/>
        <v>0</v>
      </c>
      <c r="U387" s="362">
        <f t="shared" si="72"/>
        <v>0</v>
      </c>
      <c r="V387" s="362">
        <f t="shared" si="64"/>
        <v>0</v>
      </c>
    </row>
    <row r="388" spans="1:22" ht="15" thickBot="1" x14ac:dyDescent="0.25">
      <c r="A388" s="3" t="s">
        <v>440</v>
      </c>
      <c r="B388" s="225"/>
      <c r="C388" s="37"/>
      <c r="D388" s="10"/>
      <c r="E388" s="10"/>
      <c r="F388" s="19"/>
      <c r="G388" s="159"/>
      <c r="H388" s="363"/>
      <c r="I388" s="364"/>
      <c r="J388" s="364"/>
      <c r="K388" s="364"/>
      <c r="L388" s="364"/>
      <c r="M388" s="364"/>
      <c r="N388" s="364"/>
      <c r="O388" s="364"/>
      <c r="P388" s="364"/>
      <c r="Q388" s="364"/>
      <c r="R388" s="364"/>
      <c r="S388" s="365"/>
      <c r="T388" s="365"/>
      <c r="U388" s="365"/>
      <c r="V388" s="365">
        <f t="shared" si="64"/>
        <v>0</v>
      </c>
    </row>
    <row r="389" spans="1:22" ht="15.75" thickBot="1" x14ac:dyDescent="0.3">
      <c r="A389" s="3" t="s">
        <v>440</v>
      </c>
      <c r="B389" s="229">
        <v>300</v>
      </c>
      <c r="C389" s="76" t="s">
        <v>213</v>
      </c>
      <c r="D389" s="77"/>
      <c r="E389" s="77"/>
      <c r="F389" s="46"/>
      <c r="G389" s="166"/>
      <c r="H389" s="360">
        <f t="shared" ref="H389:U389" si="73">H152+H324+H365+H376+H387</f>
        <v>177159.79652454131</v>
      </c>
      <c r="I389" s="361">
        <f t="shared" si="73"/>
        <v>168392.276363251</v>
      </c>
      <c r="J389" s="361">
        <f t="shared" si="73"/>
        <v>195510.12527020919</v>
      </c>
      <c r="K389" s="361">
        <f t="shared" si="73"/>
        <v>190270.4456662517</v>
      </c>
      <c r="L389" s="361">
        <f t="shared" si="73"/>
        <v>192253.00948256734</v>
      </c>
      <c r="M389" s="361">
        <f t="shared" si="73"/>
        <v>197070.31803362039</v>
      </c>
      <c r="N389" s="361">
        <f t="shared" si="73"/>
        <v>179948.93373609975</v>
      </c>
      <c r="O389" s="361">
        <f t="shared" si="73"/>
        <v>194235.57329888301</v>
      </c>
      <c r="P389" s="361">
        <f t="shared" si="73"/>
        <v>214885.57329888301</v>
      </c>
      <c r="Q389" s="361">
        <f t="shared" si="73"/>
        <v>180357.62658467342</v>
      </c>
      <c r="R389" s="361">
        <f t="shared" si="73"/>
        <v>206983.13711519865</v>
      </c>
      <c r="S389" s="362">
        <f t="shared" si="73"/>
        <v>566536.30459187157</v>
      </c>
      <c r="T389" s="362">
        <f t="shared" si="73"/>
        <v>2663603.1199660506</v>
      </c>
      <c r="U389" s="362">
        <f t="shared" si="73"/>
        <v>47344.456935483868</v>
      </c>
      <c r="V389" s="362">
        <f t="shared" si="64"/>
        <v>2710947.5769015346</v>
      </c>
    </row>
    <row r="390" spans="1:22" x14ac:dyDescent="0.2">
      <c r="A390" s="3" t="s">
        <v>440</v>
      </c>
      <c r="B390" s="225"/>
      <c r="C390" s="37"/>
      <c r="D390" s="10"/>
      <c r="E390" s="10"/>
      <c r="F390" s="19"/>
      <c r="G390" s="159"/>
      <c r="H390" s="363"/>
      <c r="I390" s="364"/>
      <c r="J390" s="364"/>
      <c r="K390" s="364"/>
      <c r="L390" s="364"/>
      <c r="M390" s="364"/>
      <c r="N390" s="364"/>
      <c r="O390" s="364"/>
      <c r="P390" s="364"/>
      <c r="Q390" s="364"/>
      <c r="R390" s="364"/>
      <c r="S390" s="365"/>
      <c r="T390" s="365"/>
      <c r="U390" s="365"/>
      <c r="V390" s="365">
        <f t="shared" si="64"/>
        <v>0</v>
      </c>
    </row>
    <row r="391" spans="1:22" s="5" customFormat="1" ht="15" x14ac:dyDescent="0.25">
      <c r="A391" s="3" t="s">
        <v>440</v>
      </c>
      <c r="B391" s="225"/>
      <c r="C391" s="87" t="s">
        <v>291</v>
      </c>
      <c r="D391" s="12"/>
      <c r="E391" s="12"/>
      <c r="F391" s="78"/>
      <c r="G391" s="170"/>
      <c r="H391" s="391"/>
      <c r="I391" s="392"/>
      <c r="J391" s="392"/>
      <c r="K391" s="392"/>
      <c r="L391" s="392"/>
      <c r="M391" s="392"/>
      <c r="N391" s="392"/>
      <c r="O391" s="392"/>
      <c r="P391" s="392"/>
      <c r="Q391" s="392"/>
      <c r="R391" s="392"/>
      <c r="S391" s="393"/>
      <c r="T391" s="393"/>
      <c r="U391" s="393"/>
      <c r="V391" s="393"/>
    </row>
    <row r="392" spans="1:22" x14ac:dyDescent="0.2">
      <c r="A392" s="3" t="s">
        <v>440</v>
      </c>
      <c r="B392" s="225">
        <v>301</v>
      </c>
      <c r="C392" s="37" t="s">
        <v>4</v>
      </c>
      <c r="D392" s="10"/>
      <c r="E392" s="10"/>
      <c r="F392" s="19" t="s">
        <v>221</v>
      </c>
      <c r="G392" s="159" t="s">
        <v>253</v>
      </c>
      <c r="H392" s="363"/>
      <c r="I392" s="364"/>
      <c r="J392" s="364"/>
      <c r="K392" s="364"/>
      <c r="L392" s="364"/>
      <c r="M392" s="364"/>
      <c r="N392" s="364"/>
      <c r="O392" s="364"/>
      <c r="P392" s="364"/>
      <c r="Q392" s="364"/>
      <c r="R392" s="364"/>
      <c r="S392" s="365"/>
      <c r="T392" s="365">
        <f>SUM(H392:S392)</f>
        <v>0</v>
      </c>
      <c r="U392" s="365"/>
      <c r="V392" s="365">
        <f t="shared" si="64"/>
        <v>0</v>
      </c>
    </row>
    <row r="393" spans="1:22" ht="15" thickBot="1" x14ac:dyDescent="0.25">
      <c r="A393" s="3" t="s">
        <v>440</v>
      </c>
      <c r="B393" s="225">
        <v>302</v>
      </c>
      <c r="C393" s="37"/>
      <c r="D393" s="10"/>
      <c r="E393" s="10"/>
      <c r="F393" s="19"/>
      <c r="G393" s="159"/>
      <c r="H393" s="363"/>
      <c r="I393" s="364"/>
      <c r="J393" s="364"/>
      <c r="K393" s="364"/>
      <c r="L393" s="364"/>
      <c r="M393" s="364"/>
      <c r="N393" s="364"/>
      <c r="O393" s="364"/>
      <c r="P393" s="364"/>
      <c r="Q393" s="364"/>
      <c r="R393" s="364"/>
      <c r="S393" s="365"/>
      <c r="T393" s="365">
        <f>SUM(H393:S393)</f>
        <v>0</v>
      </c>
      <c r="U393" s="365"/>
      <c r="V393" s="365">
        <f t="shared" si="64"/>
        <v>0</v>
      </c>
    </row>
    <row r="394" spans="1:22" ht="15.75" thickBot="1" x14ac:dyDescent="0.3">
      <c r="A394" s="3" t="s">
        <v>440</v>
      </c>
      <c r="B394" s="229">
        <v>303</v>
      </c>
      <c r="C394" s="76" t="s">
        <v>214</v>
      </c>
      <c r="D394" s="77"/>
      <c r="E394" s="77"/>
      <c r="F394" s="46"/>
      <c r="G394" s="166"/>
      <c r="H394" s="360">
        <f t="shared" ref="H394:U394" si="74">SUM(H392:H393)</f>
        <v>0</v>
      </c>
      <c r="I394" s="361">
        <f t="shared" si="74"/>
        <v>0</v>
      </c>
      <c r="J394" s="361">
        <f t="shared" si="74"/>
        <v>0</v>
      </c>
      <c r="K394" s="361">
        <f t="shared" si="74"/>
        <v>0</v>
      </c>
      <c r="L394" s="361">
        <f t="shared" si="74"/>
        <v>0</v>
      </c>
      <c r="M394" s="361">
        <f t="shared" si="74"/>
        <v>0</v>
      </c>
      <c r="N394" s="361">
        <f t="shared" si="74"/>
        <v>0</v>
      </c>
      <c r="O394" s="361">
        <f t="shared" si="74"/>
        <v>0</v>
      </c>
      <c r="P394" s="361">
        <f t="shared" si="74"/>
        <v>0</v>
      </c>
      <c r="Q394" s="361">
        <f t="shared" si="74"/>
        <v>0</v>
      </c>
      <c r="R394" s="361">
        <f t="shared" si="74"/>
        <v>0</v>
      </c>
      <c r="S394" s="362">
        <f t="shared" si="74"/>
        <v>0</v>
      </c>
      <c r="T394" s="362">
        <f t="shared" si="74"/>
        <v>0</v>
      </c>
      <c r="U394" s="362">
        <f t="shared" si="74"/>
        <v>0</v>
      </c>
      <c r="V394" s="362">
        <f t="shared" ref="V394:V398" si="75">+T394+U394</f>
        <v>0</v>
      </c>
    </row>
    <row r="395" spans="1:22" ht="15" thickBot="1" x14ac:dyDescent="0.25">
      <c r="A395" s="3" t="s">
        <v>440</v>
      </c>
      <c r="B395" s="225"/>
      <c r="C395" s="37"/>
      <c r="D395" s="10"/>
      <c r="E395" s="10"/>
      <c r="F395" s="19"/>
      <c r="G395" s="159"/>
      <c r="H395" s="363"/>
      <c r="I395" s="364"/>
      <c r="J395" s="364"/>
      <c r="K395" s="364"/>
      <c r="L395" s="364"/>
      <c r="M395" s="364"/>
      <c r="N395" s="364"/>
      <c r="O395" s="364"/>
      <c r="P395" s="364"/>
      <c r="Q395" s="364"/>
      <c r="R395" s="364"/>
      <c r="S395" s="365"/>
      <c r="T395" s="365"/>
      <c r="U395" s="365"/>
      <c r="V395" s="365">
        <f t="shared" si="75"/>
        <v>0</v>
      </c>
    </row>
    <row r="396" spans="1:22" s="5" customFormat="1" ht="15.75" thickBot="1" x14ac:dyDescent="0.3">
      <c r="A396" s="3" t="s">
        <v>440</v>
      </c>
      <c r="B396" s="235" t="s">
        <v>215</v>
      </c>
      <c r="C396" s="76"/>
      <c r="D396" s="77"/>
      <c r="E396" s="77"/>
      <c r="F396" s="120"/>
      <c r="G396" s="177"/>
      <c r="H396" s="407"/>
      <c r="I396" s="408"/>
      <c r="J396" s="408"/>
      <c r="K396" s="408"/>
      <c r="L396" s="408"/>
      <c r="M396" s="408"/>
      <c r="N396" s="408"/>
      <c r="O396" s="408"/>
      <c r="P396" s="408"/>
      <c r="Q396" s="408"/>
      <c r="R396" s="408"/>
      <c r="S396" s="409"/>
      <c r="T396" s="409"/>
      <c r="U396" s="409"/>
      <c r="V396" s="409"/>
    </row>
    <row r="397" spans="1:22" ht="15" x14ac:dyDescent="0.25">
      <c r="A397" s="3" t="s">
        <v>440</v>
      </c>
      <c r="B397" s="232"/>
      <c r="C397" s="131"/>
      <c r="D397" s="130" t="s">
        <v>254</v>
      </c>
      <c r="E397" s="119"/>
      <c r="F397" s="136"/>
      <c r="G397" s="175"/>
      <c r="H397" s="404"/>
      <c r="I397" s="405"/>
      <c r="J397" s="405"/>
      <c r="K397" s="405"/>
      <c r="L397" s="405"/>
      <c r="M397" s="405"/>
      <c r="N397" s="405"/>
      <c r="O397" s="405"/>
      <c r="P397" s="405"/>
      <c r="Q397" s="405"/>
      <c r="R397" s="405"/>
      <c r="S397" s="406"/>
      <c r="T397" s="406"/>
      <c r="U397" s="406"/>
      <c r="V397" s="406"/>
    </row>
    <row r="398" spans="1:22" ht="15.75" thickBot="1" x14ac:dyDescent="0.3">
      <c r="A398" s="3" t="s">
        <v>440</v>
      </c>
      <c r="B398" s="233">
        <v>304</v>
      </c>
      <c r="C398" s="132"/>
      <c r="D398" s="117" t="s">
        <v>3</v>
      </c>
      <c r="E398" s="118"/>
      <c r="F398" s="128"/>
      <c r="G398" s="176"/>
      <c r="H398" s="356">
        <f t="shared" ref="H398:U398" si="76">+H68-H389-H394</f>
        <v>-1393.4215245413361</v>
      </c>
      <c r="I398" s="357">
        <f t="shared" si="76"/>
        <v>7374.0986367489677</v>
      </c>
      <c r="J398" s="357">
        <f t="shared" si="76"/>
        <v>-7630.1139065728639</v>
      </c>
      <c r="K398" s="357">
        <f t="shared" si="76"/>
        <v>60998.202061021002</v>
      </c>
      <c r="L398" s="357">
        <f t="shared" si="76"/>
        <v>59621.320062887185</v>
      </c>
      <c r="M398" s="357">
        <f t="shared" si="76"/>
        <v>52986.966057288664</v>
      </c>
      <c r="N398" s="357">
        <f t="shared" si="76"/>
        <v>67685.623082082049</v>
      </c>
      <c r="O398" s="357">
        <f t="shared" si="76"/>
        <v>58244.43806475334</v>
      </c>
      <c r="P398" s="357">
        <f t="shared" si="76"/>
        <v>37594.43806475334</v>
      </c>
      <c r="Q398" s="357">
        <f t="shared" si="76"/>
        <v>67882.612051690172</v>
      </c>
      <c r="R398" s="357">
        <f t="shared" si="76"/>
        <v>46102.556066619494</v>
      </c>
      <c r="S398" s="358">
        <f t="shared" si="76"/>
        <v>-315873.33868278068</v>
      </c>
      <c r="T398" s="358">
        <f t="shared" si="76"/>
        <v>133593.38003394939</v>
      </c>
      <c r="U398" s="358">
        <f t="shared" si="76"/>
        <v>17255.543064516132</v>
      </c>
      <c r="V398" s="358">
        <f t="shared" si="75"/>
        <v>150848.92309846552</v>
      </c>
    </row>
    <row r="399" spans="1:22" x14ac:dyDescent="0.2">
      <c r="B399" s="221"/>
      <c r="H399" s="359"/>
      <c r="I399" s="359"/>
      <c r="J399" s="359"/>
      <c r="K399" s="359"/>
      <c r="L399" s="359"/>
      <c r="M399" s="424"/>
      <c r="N399" s="424"/>
      <c r="O399" s="424"/>
      <c r="P399" s="424"/>
      <c r="Q399" s="424"/>
      <c r="R399" s="424"/>
      <c r="S399" s="424"/>
      <c r="T399" s="424"/>
      <c r="U399" s="424"/>
    </row>
    <row r="400" spans="1:22" x14ac:dyDescent="0.2">
      <c r="B400" s="221"/>
      <c r="H400" s="1"/>
      <c r="I400" s="1"/>
      <c r="J400" s="1"/>
      <c r="K400" s="1"/>
      <c r="L400" s="1"/>
    </row>
    <row r="401" spans="2:12" x14ac:dyDescent="0.2">
      <c r="B401" s="221"/>
      <c r="H401" s="1"/>
      <c r="I401" s="1"/>
      <c r="J401" s="1"/>
      <c r="K401" s="1"/>
      <c r="L401" s="1"/>
    </row>
    <row r="402" spans="2:12" x14ac:dyDescent="0.2">
      <c r="B402" s="221"/>
      <c r="H402" s="1"/>
      <c r="I402" s="1"/>
      <c r="J402" s="1"/>
      <c r="K402" s="1"/>
      <c r="L402" s="1"/>
    </row>
    <row r="403" spans="2:12" x14ac:dyDescent="0.2">
      <c r="B403" s="221"/>
    </row>
    <row r="404" spans="2:12" x14ac:dyDescent="0.2">
      <c r="B404" s="221"/>
    </row>
    <row r="405" spans="2:12" x14ac:dyDescent="0.2">
      <c r="B405" s="221"/>
    </row>
    <row r="406" spans="2:12" x14ac:dyDescent="0.2">
      <c r="B406" s="221"/>
    </row>
    <row r="407" spans="2:12" x14ac:dyDescent="0.2">
      <c r="B407" s="221"/>
    </row>
    <row r="408" spans="2:12" x14ac:dyDescent="0.2">
      <c r="B408" s="221"/>
    </row>
    <row r="409" spans="2:12" x14ac:dyDescent="0.2">
      <c r="B409" s="221"/>
    </row>
    <row r="410" spans="2:12" x14ac:dyDescent="0.2">
      <c r="B410" s="221"/>
    </row>
    <row r="411" spans="2:12" x14ac:dyDescent="0.2">
      <c r="B411" s="221"/>
    </row>
    <row r="412" spans="2:12" x14ac:dyDescent="0.2">
      <c r="B412" s="221"/>
    </row>
    <row r="413" spans="2:12" x14ac:dyDescent="0.2">
      <c r="B413" s="221"/>
    </row>
    <row r="414" spans="2:12" x14ac:dyDescent="0.2">
      <c r="B414" s="221"/>
    </row>
    <row r="415" spans="2:12" x14ac:dyDescent="0.2">
      <c r="B415" s="221"/>
    </row>
    <row r="416" spans="2:12" x14ac:dyDescent="0.2">
      <c r="B416" s="221"/>
    </row>
    <row r="417" spans="2:2" x14ac:dyDescent="0.2">
      <c r="B417" s="221"/>
    </row>
    <row r="418" spans="2:2" x14ac:dyDescent="0.2">
      <c r="B418" s="221"/>
    </row>
    <row r="419" spans="2:2" x14ac:dyDescent="0.2">
      <c r="B419" s="221"/>
    </row>
    <row r="420" spans="2:2" x14ac:dyDescent="0.2">
      <c r="B420" s="221"/>
    </row>
    <row r="421" spans="2:2" x14ac:dyDescent="0.2">
      <c r="B421" s="221"/>
    </row>
    <row r="422" spans="2:2" x14ac:dyDescent="0.2">
      <c r="B422" s="221"/>
    </row>
    <row r="423" spans="2:2" x14ac:dyDescent="0.2">
      <c r="B423" s="221"/>
    </row>
    <row r="424" spans="2:2" x14ac:dyDescent="0.2">
      <c r="B424" s="221"/>
    </row>
    <row r="425" spans="2:2" x14ac:dyDescent="0.2">
      <c r="B425" s="221"/>
    </row>
    <row r="426" spans="2:2" x14ac:dyDescent="0.2">
      <c r="B426" s="221"/>
    </row>
    <row r="427" spans="2:2" x14ac:dyDescent="0.2">
      <c r="B427" s="221"/>
    </row>
    <row r="428" spans="2:2" x14ac:dyDescent="0.2">
      <c r="B428" s="221"/>
    </row>
    <row r="429" spans="2:2" x14ac:dyDescent="0.2">
      <c r="B429" s="221"/>
    </row>
    <row r="430" spans="2:2" x14ac:dyDescent="0.2">
      <c r="B430" s="221"/>
    </row>
    <row r="431" spans="2:2" x14ac:dyDescent="0.2">
      <c r="B431" s="221"/>
    </row>
    <row r="432" spans="2:2" x14ac:dyDescent="0.2">
      <c r="B432" s="221"/>
    </row>
    <row r="433" spans="2:2" x14ac:dyDescent="0.2">
      <c r="B433" s="221"/>
    </row>
    <row r="434" spans="2:2" x14ac:dyDescent="0.2">
      <c r="B434" s="221"/>
    </row>
    <row r="435" spans="2:2" x14ac:dyDescent="0.2">
      <c r="B435" s="221"/>
    </row>
    <row r="436" spans="2:2" x14ac:dyDescent="0.2">
      <c r="B436" s="221"/>
    </row>
    <row r="437" spans="2:2" x14ac:dyDescent="0.2">
      <c r="B437" s="221"/>
    </row>
    <row r="438" spans="2:2" x14ac:dyDescent="0.2">
      <c r="B438" s="221"/>
    </row>
    <row r="439" spans="2:2" x14ac:dyDescent="0.2">
      <c r="B439" s="221"/>
    </row>
    <row r="440" spans="2:2" x14ac:dyDescent="0.2">
      <c r="B440" s="221"/>
    </row>
    <row r="441" spans="2:2" x14ac:dyDescent="0.2">
      <c r="B441" s="221"/>
    </row>
    <row r="442" spans="2:2" x14ac:dyDescent="0.2">
      <c r="B442" s="221"/>
    </row>
    <row r="443" spans="2:2" x14ac:dyDescent="0.2">
      <c r="B443" s="221"/>
    </row>
    <row r="444" spans="2:2" x14ac:dyDescent="0.2">
      <c r="B444" s="221"/>
    </row>
    <row r="445" spans="2:2" x14ac:dyDescent="0.2">
      <c r="B445" s="221"/>
    </row>
    <row r="446" spans="2:2" x14ac:dyDescent="0.2">
      <c r="B446" s="221"/>
    </row>
    <row r="447" spans="2:2" x14ac:dyDescent="0.2">
      <c r="B447" s="221"/>
    </row>
    <row r="448" spans="2:2" x14ac:dyDescent="0.2">
      <c r="B448" s="221"/>
    </row>
    <row r="449" spans="2:2" x14ac:dyDescent="0.2">
      <c r="B449" s="221"/>
    </row>
    <row r="450" spans="2:2" x14ac:dyDescent="0.2">
      <c r="B450" s="221"/>
    </row>
    <row r="451" spans="2:2" x14ac:dyDescent="0.2">
      <c r="B451" s="221"/>
    </row>
    <row r="452" spans="2:2" x14ac:dyDescent="0.2">
      <c r="B452" s="221"/>
    </row>
    <row r="453" spans="2:2" x14ac:dyDescent="0.2">
      <c r="B453" s="221"/>
    </row>
    <row r="454" spans="2:2" x14ac:dyDescent="0.2">
      <c r="B454" s="221"/>
    </row>
    <row r="455" spans="2:2" x14ac:dyDescent="0.2">
      <c r="B455" s="221"/>
    </row>
    <row r="456" spans="2:2" x14ac:dyDescent="0.2">
      <c r="B456" s="221"/>
    </row>
    <row r="457" spans="2:2" x14ac:dyDescent="0.2">
      <c r="B457" s="221"/>
    </row>
    <row r="458" spans="2:2" x14ac:dyDescent="0.2">
      <c r="B458" s="221"/>
    </row>
    <row r="459" spans="2:2" x14ac:dyDescent="0.2">
      <c r="B459" s="221"/>
    </row>
    <row r="460" spans="2:2" x14ac:dyDescent="0.2">
      <c r="B460" s="221"/>
    </row>
    <row r="461" spans="2:2" x14ac:dyDescent="0.2">
      <c r="B461" s="221"/>
    </row>
    <row r="462" spans="2:2" x14ac:dyDescent="0.2">
      <c r="B462" s="221"/>
    </row>
    <row r="463" spans="2:2" x14ac:dyDescent="0.2">
      <c r="B463" s="221"/>
    </row>
    <row r="464" spans="2:2" x14ac:dyDescent="0.2">
      <c r="B464" s="221"/>
    </row>
    <row r="465" spans="2:2" x14ac:dyDescent="0.2">
      <c r="B465" s="221"/>
    </row>
    <row r="466" spans="2:2" x14ac:dyDescent="0.2">
      <c r="B466" s="221"/>
    </row>
    <row r="467" spans="2:2" x14ac:dyDescent="0.2">
      <c r="B467" s="221"/>
    </row>
    <row r="468" spans="2:2" x14ac:dyDescent="0.2">
      <c r="B468" s="221"/>
    </row>
    <row r="469" spans="2:2" x14ac:dyDescent="0.2">
      <c r="B469" s="221"/>
    </row>
    <row r="470" spans="2:2" x14ac:dyDescent="0.2">
      <c r="B470" s="221"/>
    </row>
    <row r="471" spans="2:2" x14ac:dyDescent="0.2">
      <c r="B471" s="221"/>
    </row>
    <row r="472" spans="2:2" x14ac:dyDescent="0.2">
      <c r="B472" s="221"/>
    </row>
    <row r="473" spans="2:2" x14ac:dyDescent="0.2">
      <c r="B473" s="221"/>
    </row>
    <row r="474" spans="2:2" x14ac:dyDescent="0.2">
      <c r="B474" s="221"/>
    </row>
    <row r="475" spans="2:2" x14ac:dyDescent="0.2">
      <c r="B475" s="221"/>
    </row>
    <row r="476" spans="2:2" x14ac:dyDescent="0.2">
      <c r="B476" s="221"/>
    </row>
    <row r="477" spans="2:2" x14ac:dyDescent="0.2">
      <c r="B477" s="221"/>
    </row>
    <row r="478" spans="2:2" x14ac:dyDescent="0.2">
      <c r="B478" s="221"/>
    </row>
    <row r="479" spans="2:2" x14ac:dyDescent="0.2">
      <c r="B479" s="221"/>
    </row>
    <row r="480" spans="2:2" x14ac:dyDescent="0.2">
      <c r="B480" s="221"/>
    </row>
    <row r="481" spans="2:2" x14ac:dyDescent="0.2">
      <c r="B481" s="221"/>
    </row>
    <row r="482" spans="2:2" x14ac:dyDescent="0.2">
      <c r="B482" s="221"/>
    </row>
    <row r="483" spans="2:2" x14ac:dyDescent="0.2">
      <c r="B483" s="221"/>
    </row>
    <row r="484" spans="2:2" x14ac:dyDescent="0.2">
      <c r="B484" s="221"/>
    </row>
    <row r="485" spans="2:2" x14ac:dyDescent="0.2">
      <c r="B485" s="221"/>
    </row>
    <row r="486" spans="2:2" x14ac:dyDescent="0.2">
      <c r="B486" s="221"/>
    </row>
    <row r="487" spans="2:2" x14ac:dyDescent="0.2">
      <c r="B487" s="221"/>
    </row>
    <row r="488" spans="2:2" x14ac:dyDescent="0.2">
      <c r="B488" s="221"/>
    </row>
    <row r="489" spans="2:2" x14ac:dyDescent="0.2">
      <c r="B489" s="221"/>
    </row>
    <row r="490" spans="2:2" x14ac:dyDescent="0.2">
      <c r="B490" s="221"/>
    </row>
    <row r="491" spans="2:2" x14ac:dyDescent="0.2">
      <c r="B491" s="221"/>
    </row>
    <row r="492" spans="2:2" x14ac:dyDescent="0.2">
      <c r="B492" s="221"/>
    </row>
    <row r="493" spans="2:2" x14ac:dyDescent="0.2">
      <c r="B493" s="221"/>
    </row>
    <row r="494" spans="2:2" x14ac:dyDescent="0.2">
      <c r="B494" s="221"/>
    </row>
    <row r="495" spans="2:2" x14ac:dyDescent="0.2">
      <c r="B495" s="221"/>
    </row>
    <row r="496" spans="2:2" x14ac:dyDescent="0.2">
      <c r="B496" s="221"/>
    </row>
    <row r="497" spans="2:2" x14ac:dyDescent="0.2">
      <c r="B497" s="221"/>
    </row>
    <row r="498" spans="2:2" x14ac:dyDescent="0.2">
      <c r="B498" s="221"/>
    </row>
    <row r="499" spans="2:2" x14ac:dyDescent="0.2">
      <c r="B499" s="221"/>
    </row>
    <row r="500" spans="2:2" x14ac:dyDescent="0.2">
      <c r="B500" s="221"/>
    </row>
    <row r="501" spans="2:2" x14ac:dyDescent="0.2">
      <c r="B501" s="221"/>
    </row>
    <row r="502" spans="2:2" x14ac:dyDescent="0.2">
      <c r="B502" s="221"/>
    </row>
    <row r="503" spans="2:2" x14ac:dyDescent="0.2">
      <c r="B503" s="221"/>
    </row>
    <row r="504" spans="2:2" x14ac:dyDescent="0.2">
      <c r="B504" s="221"/>
    </row>
    <row r="505" spans="2:2" x14ac:dyDescent="0.2">
      <c r="B505" s="221"/>
    </row>
    <row r="506" spans="2:2" x14ac:dyDescent="0.2">
      <c r="B506" s="221"/>
    </row>
    <row r="507" spans="2:2" x14ac:dyDescent="0.2">
      <c r="B507" s="221"/>
    </row>
    <row r="508" spans="2:2" x14ac:dyDescent="0.2">
      <c r="B508" s="221"/>
    </row>
    <row r="509" spans="2:2" x14ac:dyDescent="0.2">
      <c r="B509" s="221"/>
    </row>
    <row r="510" spans="2:2" x14ac:dyDescent="0.2">
      <c r="B510" s="221"/>
    </row>
    <row r="511" spans="2:2" x14ac:dyDescent="0.2">
      <c r="B511" s="221"/>
    </row>
    <row r="512" spans="2:2" x14ac:dyDescent="0.2">
      <c r="B512" s="221"/>
    </row>
    <row r="513" spans="2:2" x14ac:dyDescent="0.2">
      <c r="B513" s="221"/>
    </row>
    <row r="514" spans="2:2" x14ac:dyDescent="0.2">
      <c r="B514" s="221"/>
    </row>
    <row r="515" spans="2:2" x14ac:dyDescent="0.2">
      <c r="B515" s="221"/>
    </row>
    <row r="516" spans="2:2" x14ac:dyDescent="0.2">
      <c r="B516" s="221"/>
    </row>
    <row r="517" spans="2:2" x14ac:dyDescent="0.2">
      <c r="B517" s="221"/>
    </row>
    <row r="518" spans="2:2" x14ac:dyDescent="0.2">
      <c r="B518" s="221"/>
    </row>
    <row r="519" spans="2:2" x14ac:dyDescent="0.2">
      <c r="B519" s="221"/>
    </row>
    <row r="520" spans="2:2" x14ac:dyDescent="0.2">
      <c r="B520" s="221"/>
    </row>
    <row r="521" spans="2:2" x14ac:dyDescent="0.2">
      <c r="B521" s="221"/>
    </row>
    <row r="522" spans="2:2" x14ac:dyDescent="0.2">
      <c r="B522" s="221"/>
    </row>
    <row r="523" spans="2:2" x14ac:dyDescent="0.2">
      <c r="B523" s="221"/>
    </row>
    <row r="524" spans="2:2" x14ac:dyDescent="0.2">
      <c r="B524" s="221"/>
    </row>
    <row r="525" spans="2:2" x14ac:dyDescent="0.2">
      <c r="B525" s="221"/>
    </row>
    <row r="526" spans="2:2" x14ac:dyDescent="0.2">
      <c r="B526" s="221"/>
    </row>
    <row r="527" spans="2:2" x14ac:dyDescent="0.2">
      <c r="B527" s="221"/>
    </row>
    <row r="528" spans="2:2" x14ac:dyDescent="0.2">
      <c r="B528" s="221"/>
    </row>
    <row r="529" spans="2:2" x14ac:dyDescent="0.2">
      <c r="B529" s="221"/>
    </row>
    <row r="530" spans="2:2" x14ac:dyDescent="0.2">
      <c r="B530" s="221"/>
    </row>
    <row r="531" spans="2:2" x14ac:dyDescent="0.2">
      <c r="B531" s="221"/>
    </row>
    <row r="532" spans="2:2" x14ac:dyDescent="0.2">
      <c r="B532" s="221"/>
    </row>
    <row r="533" spans="2:2" x14ac:dyDescent="0.2">
      <c r="B533" s="221"/>
    </row>
    <row r="534" spans="2:2" x14ac:dyDescent="0.2">
      <c r="B534" s="221"/>
    </row>
    <row r="535" spans="2:2" x14ac:dyDescent="0.2">
      <c r="B535" s="221"/>
    </row>
    <row r="536" spans="2:2" x14ac:dyDescent="0.2">
      <c r="B536" s="221"/>
    </row>
    <row r="537" spans="2:2" x14ac:dyDescent="0.2">
      <c r="B537" s="221"/>
    </row>
    <row r="538" spans="2:2" x14ac:dyDescent="0.2">
      <c r="B538" s="221"/>
    </row>
    <row r="539" spans="2:2" x14ac:dyDescent="0.2">
      <c r="B539" s="221"/>
    </row>
    <row r="540" spans="2:2" x14ac:dyDescent="0.2">
      <c r="B540" s="221"/>
    </row>
    <row r="541" spans="2:2" x14ac:dyDescent="0.2">
      <c r="B541" s="221"/>
    </row>
    <row r="542" spans="2:2" x14ac:dyDescent="0.2">
      <c r="B542" s="221"/>
    </row>
    <row r="543" spans="2:2" x14ac:dyDescent="0.2">
      <c r="B543" s="221"/>
    </row>
    <row r="544" spans="2:2" x14ac:dyDescent="0.2">
      <c r="B544" s="221"/>
    </row>
    <row r="545" spans="2:2" x14ac:dyDescent="0.2">
      <c r="B545" s="221"/>
    </row>
    <row r="546" spans="2:2" x14ac:dyDescent="0.2">
      <c r="B546" s="221"/>
    </row>
    <row r="547" spans="2:2" x14ac:dyDescent="0.2">
      <c r="B547" s="221"/>
    </row>
    <row r="548" spans="2:2" x14ac:dyDescent="0.2">
      <c r="B548" s="221"/>
    </row>
    <row r="549" spans="2:2" x14ac:dyDescent="0.2">
      <c r="B549" s="221"/>
    </row>
    <row r="550" spans="2:2" x14ac:dyDescent="0.2">
      <c r="B550" s="221"/>
    </row>
    <row r="551" spans="2:2" x14ac:dyDescent="0.2">
      <c r="B551" s="221"/>
    </row>
    <row r="552" spans="2:2" x14ac:dyDescent="0.2">
      <c r="B552" s="221"/>
    </row>
    <row r="553" spans="2:2" x14ac:dyDescent="0.2">
      <c r="B553" s="221"/>
    </row>
    <row r="554" spans="2:2" x14ac:dyDescent="0.2">
      <c r="B554" s="221"/>
    </row>
    <row r="555" spans="2:2" x14ac:dyDescent="0.2">
      <c r="B555" s="221"/>
    </row>
    <row r="556" spans="2:2" x14ac:dyDescent="0.2">
      <c r="B556" s="221"/>
    </row>
    <row r="557" spans="2:2" x14ac:dyDescent="0.2">
      <c r="B557" s="221"/>
    </row>
    <row r="558" spans="2:2" x14ac:dyDescent="0.2">
      <c r="B558" s="221"/>
    </row>
    <row r="559" spans="2:2" x14ac:dyDescent="0.2">
      <c r="B559" s="221"/>
    </row>
    <row r="560" spans="2:2" x14ac:dyDescent="0.2">
      <c r="B560" s="221"/>
    </row>
    <row r="561" spans="2:2" x14ac:dyDescent="0.2">
      <c r="B561" s="221"/>
    </row>
    <row r="562" spans="2:2" x14ac:dyDescent="0.2">
      <c r="B562" s="221"/>
    </row>
    <row r="563" spans="2:2" x14ac:dyDescent="0.2">
      <c r="B563" s="221"/>
    </row>
    <row r="564" spans="2:2" x14ac:dyDescent="0.2">
      <c r="B564" s="221"/>
    </row>
    <row r="565" spans="2:2" x14ac:dyDescent="0.2">
      <c r="B565" s="221"/>
    </row>
    <row r="566" spans="2:2" x14ac:dyDescent="0.2">
      <c r="B566" s="221"/>
    </row>
    <row r="567" spans="2:2" x14ac:dyDescent="0.2">
      <c r="B567" s="221"/>
    </row>
    <row r="568" spans="2:2" x14ac:dyDescent="0.2">
      <c r="B568" s="221"/>
    </row>
    <row r="569" spans="2:2" x14ac:dyDescent="0.2">
      <c r="B569" s="221"/>
    </row>
    <row r="570" spans="2:2" x14ac:dyDescent="0.2">
      <c r="B570" s="221"/>
    </row>
    <row r="571" spans="2:2" x14ac:dyDescent="0.2">
      <c r="B571" s="221"/>
    </row>
    <row r="572" spans="2:2" x14ac:dyDescent="0.2">
      <c r="B572" s="221"/>
    </row>
    <row r="573" spans="2:2" x14ac:dyDescent="0.2">
      <c r="B573" s="221"/>
    </row>
    <row r="574" spans="2:2" x14ac:dyDescent="0.2">
      <c r="B574" s="221"/>
    </row>
    <row r="575" spans="2:2" x14ac:dyDescent="0.2">
      <c r="B575" s="221"/>
    </row>
    <row r="576" spans="2:2" x14ac:dyDescent="0.2">
      <c r="B576" s="221"/>
    </row>
    <row r="577" spans="2:2" x14ac:dyDescent="0.2">
      <c r="B577" s="221"/>
    </row>
    <row r="578" spans="2:2" x14ac:dyDescent="0.2">
      <c r="B578" s="221"/>
    </row>
    <row r="579" spans="2:2" x14ac:dyDescent="0.2">
      <c r="B579" s="221"/>
    </row>
    <row r="580" spans="2:2" x14ac:dyDescent="0.2">
      <c r="B580" s="221"/>
    </row>
    <row r="581" spans="2:2" x14ac:dyDescent="0.2">
      <c r="B581" s="221"/>
    </row>
    <row r="582" spans="2:2" x14ac:dyDescent="0.2">
      <c r="B582" s="221"/>
    </row>
    <row r="583" spans="2:2" x14ac:dyDescent="0.2">
      <c r="B583" s="221"/>
    </row>
    <row r="584" spans="2:2" x14ac:dyDescent="0.2">
      <c r="B584" s="221"/>
    </row>
    <row r="585" spans="2:2" x14ac:dyDescent="0.2">
      <c r="B585" s="221"/>
    </row>
    <row r="586" spans="2:2" x14ac:dyDescent="0.2">
      <c r="B586" s="221"/>
    </row>
    <row r="587" spans="2:2" x14ac:dyDescent="0.2">
      <c r="B587" s="221"/>
    </row>
    <row r="588" spans="2:2" x14ac:dyDescent="0.2">
      <c r="B588" s="221"/>
    </row>
    <row r="589" spans="2:2" x14ac:dyDescent="0.2">
      <c r="B589" s="221"/>
    </row>
    <row r="590" spans="2:2" x14ac:dyDescent="0.2">
      <c r="B590" s="221"/>
    </row>
    <row r="591" spans="2:2" x14ac:dyDescent="0.2">
      <c r="B591" s="221"/>
    </row>
    <row r="592" spans="2:2" x14ac:dyDescent="0.2">
      <c r="B592" s="221"/>
    </row>
    <row r="593" spans="2:2" x14ac:dyDescent="0.2">
      <c r="B593" s="221"/>
    </row>
    <row r="594" spans="2:2" x14ac:dyDescent="0.2">
      <c r="B594" s="221"/>
    </row>
    <row r="595" spans="2:2" x14ac:dyDescent="0.2">
      <c r="B595" s="221"/>
    </row>
    <row r="596" spans="2:2" x14ac:dyDescent="0.2">
      <c r="B596" s="221"/>
    </row>
    <row r="597" spans="2:2" x14ac:dyDescent="0.2">
      <c r="B597" s="221"/>
    </row>
    <row r="598" spans="2:2" x14ac:dyDescent="0.2">
      <c r="B598" s="221"/>
    </row>
    <row r="599" spans="2:2" x14ac:dyDescent="0.2">
      <c r="B599" s="221"/>
    </row>
    <row r="600" spans="2:2" x14ac:dyDescent="0.2">
      <c r="B600" s="221"/>
    </row>
    <row r="601" spans="2:2" x14ac:dyDescent="0.2">
      <c r="B601" s="221"/>
    </row>
    <row r="602" spans="2:2" x14ac:dyDescent="0.2">
      <c r="B602" s="221"/>
    </row>
    <row r="603" spans="2:2" x14ac:dyDescent="0.2">
      <c r="B603" s="221"/>
    </row>
    <row r="604" spans="2:2" x14ac:dyDescent="0.2">
      <c r="B604" s="221"/>
    </row>
    <row r="605" spans="2:2" x14ac:dyDescent="0.2">
      <c r="B605" s="221"/>
    </row>
    <row r="606" spans="2:2" x14ac:dyDescent="0.2">
      <c r="B606" s="221"/>
    </row>
    <row r="607" spans="2:2" x14ac:dyDescent="0.2">
      <c r="B607" s="221"/>
    </row>
    <row r="608" spans="2:2" x14ac:dyDescent="0.2">
      <c r="B608" s="221"/>
    </row>
    <row r="609" spans="2:2" x14ac:dyDescent="0.2">
      <c r="B609" s="221"/>
    </row>
    <row r="610" spans="2:2" x14ac:dyDescent="0.2">
      <c r="B610" s="221"/>
    </row>
    <row r="611" spans="2:2" x14ac:dyDescent="0.2">
      <c r="B611" s="221"/>
    </row>
    <row r="612" spans="2:2" x14ac:dyDescent="0.2">
      <c r="B612" s="221"/>
    </row>
    <row r="613" spans="2:2" x14ac:dyDescent="0.2">
      <c r="B613" s="221"/>
    </row>
    <row r="614" spans="2:2" x14ac:dyDescent="0.2">
      <c r="B614" s="221"/>
    </row>
    <row r="615" spans="2:2" x14ac:dyDescent="0.2">
      <c r="B615" s="221"/>
    </row>
    <row r="616" spans="2:2" x14ac:dyDescent="0.2">
      <c r="B616" s="221"/>
    </row>
    <row r="617" spans="2:2" x14ac:dyDescent="0.2">
      <c r="B617" s="221"/>
    </row>
    <row r="618" spans="2:2" x14ac:dyDescent="0.2">
      <c r="B618" s="221"/>
    </row>
    <row r="619" spans="2:2" x14ac:dyDescent="0.2">
      <c r="B619" s="221"/>
    </row>
    <row r="620" spans="2:2" x14ac:dyDescent="0.2">
      <c r="B620" s="221"/>
    </row>
    <row r="621" spans="2:2" x14ac:dyDescent="0.2">
      <c r="B621" s="221"/>
    </row>
    <row r="622" spans="2:2" x14ac:dyDescent="0.2">
      <c r="B622" s="221"/>
    </row>
    <row r="623" spans="2:2" x14ac:dyDescent="0.2">
      <c r="B623" s="221"/>
    </row>
    <row r="624" spans="2:2" x14ac:dyDescent="0.2">
      <c r="B624" s="221"/>
    </row>
    <row r="625" spans="2:2" x14ac:dyDescent="0.2">
      <c r="B625" s="221"/>
    </row>
    <row r="626" spans="2:2" x14ac:dyDescent="0.2">
      <c r="B626" s="221"/>
    </row>
    <row r="627" spans="2:2" x14ac:dyDescent="0.2">
      <c r="B627" s="221"/>
    </row>
    <row r="628" spans="2:2" x14ac:dyDescent="0.2">
      <c r="B628" s="221"/>
    </row>
    <row r="629" spans="2:2" x14ac:dyDescent="0.2">
      <c r="B629" s="221"/>
    </row>
    <row r="630" spans="2:2" x14ac:dyDescent="0.2">
      <c r="B630" s="221"/>
    </row>
    <row r="631" spans="2:2" x14ac:dyDescent="0.2">
      <c r="B631" s="221"/>
    </row>
    <row r="632" spans="2:2" x14ac:dyDescent="0.2">
      <c r="B632" s="221"/>
    </row>
    <row r="633" spans="2:2" x14ac:dyDescent="0.2">
      <c r="B633" s="221"/>
    </row>
    <row r="634" spans="2:2" x14ac:dyDescent="0.2">
      <c r="B634" s="221"/>
    </row>
    <row r="635" spans="2:2" x14ac:dyDescent="0.2">
      <c r="B635" s="221"/>
    </row>
    <row r="636" spans="2:2" x14ac:dyDescent="0.2">
      <c r="B636" s="221"/>
    </row>
    <row r="637" spans="2:2" x14ac:dyDescent="0.2">
      <c r="B637" s="221"/>
    </row>
    <row r="638" spans="2:2" x14ac:dyDescent="0.2">
      <c r="B638" s="221"/>
    </row>
    <row r="639" spans="2:2" x14ac:dyDescent="0.2">
      <c r="B639" s="221"/>
    </row>
    <row r="640" spans="2:2" x14ac:dyDescent="0.2">
      <c r="B640" s="221"/>
    </row>
    <row r="641" spans="2:2" x14ac:dyDescent="0.2">
      <c r="B641" s="221"/>
    </row>
    <row r="642" spans="2:2" x14ac:dyDescent="0.2">
      <c r="B642" s="221"/>
    </row>
    <row r="643" spans="2:2" x14ac:dyDescent="0.2">
      <c r="B643" s="221"/>
    </row>
    <row r="644" spans="2:2" x14ac:dyDescent="0.2">
      <c r="B644" s="221"/>
    </row>
    <row r="645" spans="2:2" x14ac:dyDescent="0.2">
      <c r="B645" s="221"/>
    </row>
    <row r="646" spans="2:2" x14ac:dyDescent="0.2">
      <c r="B646" s="221"/>
    </row>
    <row r="647" spans="2:2" x14ac:dyDescent="0.2">
      <c r="B647" s="221"/>
    </row>
    <row r="648" spans="2:2" x14ac:dyDescent="0.2">
      <c r="B648" s="221"/>
    </row>
    <row r="649" spans="2:2" x14ac:dyDescent="0.2">
      <c r="B649" s="221"/>
    </row>
    <row r="650" spans="2:2" x14ac:dyDescent="0.2">
      <c r="B650" s="221"/>
    </row>
    <row r="651" spans="2:2" x14ac:dyDescent="0.2">
      <c r="B651" s="221"/>
    </row>
    <row r="652" spans="2:2" x14ac:dyDescent="0.2">
      <c r="B652" s="221"/>
    </row>
    <row r="653" spans="2:2" x14ac:dyDescent="0.2">
      <c r="B653" s="221"/>
    </row>
    <row r="654" spans="2:2" x14ac:dyDescent="0.2">
      <c r="B654" s="221"/>
    </row>
    <row r="655" spans="2:2" x14ac:dyDescent="0.2">
      <c r="B655" s="221"/>
    </row>
    <row r="656" spans="2:2" x14ac:dyDescent="0.2">
      <c r="B656" s="221"/>
    </row>
    <row r="657" spans="2:2" x14ac:dyDescent="0.2">
      <c r="B657" s="221"/>
    </row>
    <row r="658" spans="2:2" x14ac:dyDescent="0.2">
      <c r="B658" s="221"/>
    </row>
    <row r="659" spans="2:2" x14ac:dyDescent="0.2">
      <c r="B659" s="221"/>
    </row>
    <row r="660" spans="2:2" x14ac:dyDescent="0.2">
      <c r="B660" s="221"/>
    </row>
    <row r="661" spans="2:2" x14ac:dyDescent="0.2">
      <c r="B661" s="221"/>
    </row>
    <row r="662" spans="2:2" x14ac:dyDescent="0.2">
      <c r="B662" s="221"/>
    </row>
    <row r="663" spans="2:2" x14ac:dyDescent="0.2">
      <c r="B663" s="221"/>
    </row>
    <row r="664" spans="2:2" x14ac:dyDescent="0.2">
      <c r="B664" s="221"/>
    </row>
    <row r="665" spans="2:2" x14ac:dyDescent="0.2">
      <c r="B665" s="221"/>
    </row>
    <row r="666" spans="2:2" x14ac:dyDescent="0.2">
      <c r="B666" s="221"/>
    </row>
    <row r="667" spans="2:2" x14ac:dyDescent="0.2">
      <c r="B667" s="221"/>
    </row>
    <row r="668" spans="2:2" x14ac:dyDescent="0.2">
      <c r="B668" s="221"/>
    </row>
    <row r="669" spans="2:2" x14ac:dyDescent="0.2">
      <c r="B669" s="221"/>
    </row>
    <row r="670" spans="2:2" x14ac:dyDescent="0.2">
      <c r="B670" s="221"/>
    </row>
    <row r="671" spans="2:2" x14ac:dyDescent="0.2">
      <c r="B671" s="221"/>
    </row>
    <row r="672" spans="2:2" x14ac:dyDescent="0.2">
      <c r="B672" s="221"/>
    </row>
    <row r="673" spans="2:2" x14ac:dyDescent="0.2">
      <c r="B673" s="221"/>
    </row>
    <row r="674" spans="2:2" x14ac:dyDescent="0.2">
      <c r="B674" s="221"/>
    </row>
    <row r="675" spans="2:2" x14ac:dyDescent="0.2">
      <c r="B675" s="221"/>
    </row>
    <row r="676" spans="2:2" x14ac:dyDescent="0.2">
      <c r="B676" s="221"/>
    </row>
    <row r="677" spans="2:2" x14ac:dyDescent="0.2">
      <c r="B677" s="221"/>
    </row>
    <row r="678" spans="2:2" x14ac:dyDescent="0.2">
      <c r="B678" s="221"/>
    </row>
    <row r="679" spans="2:2" x14ac:dyDescent="0.2">
      <c r="B679" s="221"/>
    </row>
    <row r="680" spans="2:2" x14ac:dyDescent="0.2">
      <c r="B680" s="221"/>
    </row>
    <row r="681" spans="2:2" x14ac:dyDescent="0.2">
      <c r="B681" s="221"/>
    </row>
    <row r="682" spans="2:2" x14ac:dyDescent="0.2">
      <c r="B682" s="221"/>
    </row>
    <row r="683" spans="2:2" x14ac:dyDescent="0.2">
      <c r="B683" s="221"/>
    </row>
    <row r="684" spans="2:2" x14ac:dyDescent="0.2">
      <c r="B684" s="221"/>
    </row>
    <row r="685" spans="2:2" x14ac:dyDescent="0.2">
      <c r="B685" s="221"/>
    </row>
    <row r="686" spans="2:2" x14ac:dyDescent="0.2">
      <c r="B686" s="221"/>
    </row>
    <row r="687" spans="2:2" x14ac:dyDescent="0.2">
      <c r="B687" s="221"/>
    </row>
    <row r="688" spans="2:2" x14ac:dyDescent="0.2">
      <c r="B688" s="221"/>
    </row>
    <row r="689" spans="2:2" x14ac:dyDescent="0.2">
      <c r="B689" s="221"/>
    </row>
    <row r="690" spans="2:2" x14ac:dyDescent="0.2">
      <c r="B690" s="221"/>
    </row>
    <row r="691" spans="2:2" x14ac:dyDescent="0.2">
      <c r="B691" s="221"/>
    </row>
    <row r="692" spans="2:2" x14ac:dyDescent="0.2">
      <c r="B692" s="221"/>
    </row>
    <row r="693" spans="2:2" x14ac:dyDescent="0.2">
      <c r="B693" s="221"/>
    </row>
    <row r="694" spans="2:2" x14ac:dyDescent="0.2">
      <c r="B694" s="221"/>
    </row>
    <row r="695" spans="2:2" x14ac:dyDescent="0.2">
      <c r="B695" s="221"/>
    </row>
    <row r="696" spans="2:2" x14ac:dyDescent="0.2">
      <c r="B696" s="221"/>
    </row>
  </sheetData>
  <autoFilter ref="A8:T420"/>
  <customSheetViews>
    <customSheetView guid="{FF09F429-7712-42C4-8E8D-F960CD33567E}" scale="80" showAutoFilter="1">
      <pane xSplit="5" ySplit="5" topLeftCell="F362" activePane="bottomRight" state="frozen"/>
      <selection pane="bottomRight" activeCell="V398" sqref="V398"/>
      <rowBreaks count="14" manualBreakCount="14">
        <brk id="38" max="16383" man="1"/>
        <brk id="71" max="16383" man="1"/>
        <brk id="98" max="16383" man="1"/>
        <brk id="125" max="16383" man="1"/>
        <brk id="152" max="16383" man="1"/>
        <brk id="186" max="16383" man="1"/>
        <brk id="201" max="16383" man="1"/>
        <brk id="226" max="16383" man="1"/>
        <brk id="251" max="16383" man="1"/>
        <brk id="283" max="16383" man="1"/>
        <brk id="305" max="16383" man="1"/>
        <brk id="324" max="16383" man="1"/>
        <brk id="347" max="16383" man="1"/>
        <brk id="376" max="16383" man="1"/>
      </rowBreaks>
      <pageMargins left="0.27" right="0.16" top="0.17" bottom="0.26" header="0.28999999999999998" footer="0.17"/>
      <printOptions horizontalCentered="1"/>
      <pageSetup paperSize="5" scale="75" orientation="landscape" r:id="rId1"/>
      <headerFooter alignWithMargins="0"/>
      <autoFilter ref="A8:T420"/>
    </customSheetView>
    <customSheetView guid="{40BC2F83-0811-4ECE-99F8-980F9280326A}" scale="80" showAutoFilter="1">
      <pane xSplit="5" ySplit="5" topLeftCell="F6" activePane="bottomRight" state="frozen"/>
      <selection pane="bottomRight" activeCell="V398" sqref="V398"/>
      <rowBreaks count="14" manualBreakCount="14">
        <brk id="38" max="16383" man="1"/>
        <brk id="71" max="16383" man="1"/>
        <brk id="98" max="16383" man="1"/>
        <brk id="125" max="16383" man="1"/>
        <brk id="152" max="16383" man="1"/>
        <brk id="186" max="16383" man="1"/>
        <brk id="201" max="16383" man="1"/>
        <brk id="226" max="16383" man="1"/>
        <brk id="251" max="16383" man="1"/>
        <brk id="283" max="16383" man="1"/>
        <brk id="305" max="16383" man="1"/>
        <brk id="324" max="16383" man="1"/>
        <brk id="347" max="16383" man="1"/>
        <brk id="376" max="16383" man="1"/>
      </rowBreaks>
      <pageMargins left="0.27" right="0.16" top="0.17" bottom="0.26" header="0.28999999999999998" footer="0.17"/>
      <printOptions horizontalCentered="1"/>
      <pageSetup paperSize="5" scale="75" orientation="landscape" r:id="rId2"/>
      <headerFooter alignWithMargins="0"/>
      <autoFilter ref="A8:T420"/>
    </customSheetView>
  </customSheetViews>
  <mergeCells count="21">
    <mergeCell ref="B2:T2"/>
    <mergeCell ref="Q4:Q5"/>
    <mergeCell ref="R4:R5"/>
    <mergeCell ref="S4:S5"/>
    <mergeCell ref="T4:T5"/>
    <mergeCell ref="M4:M5"/>
    <mergeCell ref="N4:N5"/>
    <mergeCell ref="O4:O5"/>
    <mergeCell ref="P4:P5"/>
    <mergeCell ref="U4:U5"/>
    <mergeCell ref="V4:V5"/>
    <mergeCell ref="U3:V3"/>
    <mergeCell ref="B36:L36"/>
    <mergeCell ref="L4:L5"/>
    <mergeCell ref="C4:E5"/>
    <mergeCell ref="I4:I5"/>
    <mergeCell ref="J4:J5"/>
    <mergeCell ref="K4:K5"/>
    <mergeCell ref="F4:F5"/>
    <mergeCell ref="G4:G5"/>
    <mergeCell ref="H4:H5"/>
  </mergeCells>
  <phoneticPr fontId="0" type="noConversion"/>
  <printOptions horizontalCentered="1"/>
  <pageMargins left="0.27" right="0.16" top="0.17" bottom="0.26" header="0.28999999999999998" footer="0.17"/>
  <pageSetup paperSize="5" scale="75" orientation="landscape" r:id="rId3"/>
  <headerFooter alignWithMargins="0"/>
  <rowBreaks count="14" manualBreakCount="14">
    <brk id="38" max="16383" man="1"/>
    <brk id="71" max="16383" man="1"/>
    <brk id="98" max="16383" man="1"/>
    <brk id="125" max="16383" man="1"/>
    <brk id="152" max="16383" man="1"/>
    <brk id="186" max="16383" man="1"/>
    <brk id="201" max="16383" man="1"/>
    <brk id="226" max="16383" man="1"/>
    <brk id="251" max="16383" man="1"/>
    <brk id="283" max="16383" man="1"/>
    <brk id="305" max="16383" man="1"/>
    <brk id="324" max="16383" man="1"/>
    <brk id="347" max="16383" man="1"/>
    <brk id="37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26BA16E65EA149BDE7024DDCFC0C37" ma:contentTypeVersion="2" ma:contentTypeDescription="Create a new document." ma:contentTypeScope="" ma:versionID="7b40bc972edbc2440e77a4e8850e8c42">
  <xsd:schema xmlns:xsd="http://www.w3.org/2001/XMLSchema" xmlns:xs="http://www.w3.org/2001/XMLSchema" xmlns:p="http://schemas.microsoft.com/office/2006/metadata/properties" xmlns:ns2="7642eb80-dd56-4c5a-b9a1-d531e9bac7fe" targetNamespace="http://schemas.microsoft.com/office/2006/metadata/properties" ma:root="true" ma:fieldsID="724c477023b4de99a29746437f48f81f" ns2:_="">
    <xsd:import namespace="7642eb80-dd56-4c5a-b9a1-d531e9bac7f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42eb80-dd56-4c5a-b9a1-d531e9bac7f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3126E3-4474-4B87-902A-9DABF8BC1320}">
  <ds:schemaRefs>
    <ds:schemaRef ds:uri="http://schemas.microsoft.com/sharepoint/v3/contenttype/forms"/>
  </ds:schemaRefs>
</ds:datastoreItem>
</file>

<file path=customXml/itemProps2.xml><?xml version="1.0" encoding="utf-8"?>
<ds:datastoreItem xmlns:ds="http://schemas.openxmlformats.org/officeDocument/2006/customXml" ds:itemID="{5441A1B0-9DF7-4966-8DB4-056396800A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2eb80-dd56-4c5a-b9a1-d531e9bac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C645C3-8DB5-4868-9601-81A366C4C8D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642eb80-dd56-4c5a-b9a1-d531e9bac7fe"/>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Startup Statement of Activities</vt:lpstr>
      <vt:lpstr>KIPP Assumptions</vt:lpstr>
      <vt:lpstr>Yr 1 Operating Statement of Act</vt:lpstr>
      <vt:lpstr>Yr 2 Operating Statement of Act</vt:lpstr>
      <vt:lpstr>Yr 3 Operating Statement of Act</vt:lpstr>
      <vt:lpstr>Yr 4 Operating Statement of Act</vt:lpstr>
      <vt:lpstr>Operating Statement of Act</vt:lpstr>
      <vt:lpstr>Year 1 Cash Flow Projection</vt:lpstr>
    </vt:vector>
  </TitlesOfParts>
  <Company>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pmatherne</dc:creator>
  <cp:lastModifiedBy>Brad Rosenblat</cp:lastModifiedBy>
  <cp:lastPrinted>2018-08-14T13:50:04Z</cp:lastPrinted>
  <dcterms:created xsi:type="dcterms:W3CDTF">2004-02-11T17:37:54Z</dcterms:created>
  <dcterms:modified xsi:type="dcterms:W3CDTF">2018-08-27T15:22:31Z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0x0101006026BA16E65EA149BDE7024DDCFC0C37</vt:lpwstr>
  </property>
</Properties>
</file>