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James\Desktop\Dubar Charter - Part 1 Resubmissions\"/>
    </mc:Choice>
  </mc:AlternateContent>
  <bookViews>
    <workbookView xWindow="0" yWindow="0" windowWidth="28800" windowHeight="12435" tabRatio="782" firstSheet="3" activeTab="8"/>
  </bookViews>
  <sheets>
    <sheet name="Instructions" sheetId="14" r:id="rId1"/>
    <sheet name="Startup Statement of Activities" sheetId="6" r:id="rId2"/>
    <sheet name="Yr 1 Operating Statement of Act" sheetId="10" r:id="rId3"/>
    <sheet name="Operating Statement of Act" sheetId="4" r:id="rId4"/>
    <sheet name="Year 1 Cash Flow Projection" sheetId="5" r:id="rId5"/>
    <sheet name="Staffing Assumptions" sheetId="16" r:id="rId6"/>
    <sheet name="Rev &amp; Exp Assumptions" sheetId="19" r:id="rId7"/>
    <sheet name="MFP Assumptions" sheetId="17" r:id="rId8"/>
    <sheet name="Enrollment Assuptions" sheetId="18" r:id="rId9"/>
  </sheets>
  <externalReferences>
    <externalReference r:id="rId10"/>
  </externalReferences>
  <definedNames>
    <definedName name="_xlnm._FilterDatabase" localSheetId="5" hidden="1">'Staffing Assumptions'!$A$2:$K$56</definedName>
    <definedName name="_xlnm.Print_Area" localSheetId="5">'Staffing Assumptions'!$A$1:$K$57</definedName>
    <definedName name="_xlnm.Print_Area" localSheetId="1">'Startup Statement of Activities'!$A$1:$H$51</definedName>
    <definedName name="_xlnm.Print_Area" localSheetId="4">'Year 1 Cash Flow Projection'!$A$1:$S$399</definedName>
    <definedName name="_xlnm.Print_Area" localSheetId="2">'Yr 1 Operating Statement of Act'!$A$1:$H$401</definedName>
    <definedName name="_xlnm.Print_Titles" localSheetId="3">'Operating Statement of Act'!$1:$7</definedName>
    <definedName name="_xlnm.Print_Titles" localSheetId="4">'Year 1 Cash Flow Projection'!$1:$5</definedName>
    <definedName name="_xlnm.Print_Titles" localSheetId="2">'Yr 1 Operating Statement of Act'!$1:$7</definedName>
  </definedNames>
  <calcPr calcId="171026"/>
  <extLst>
    <ext xmlns:mx="http://schemas.microsoft.com/office/mac/excel/2008/main" uri="{7523E5D3-25F3-A5E0-1632-64F254C22452}">
      <mx:ArchID Flags="2"/>
    </ext>
  </extLst>
</workbook>
</file>

<file path=xl/calcChain.xml><?xml version="1.0" encoding="utf-8"?>
<calcChain xmlns="http://schemas.openxmlformats.org/spreadsheetml/2006/main">
  <c r="J330" i="5" l="1"/>
  <c r="K330" i="5" s="1"/>
  <c r="L330" i="5" s="1"/>
  <c r="M330" i="5" s="1"/>
  <c r="N330" i="5" s="1"/>
  <c r="O330" i="5" s="1"/>
  <c r="P330" i="5" s="1"/>
  <c r="Q330" i="5" s="1"/>
  <c r="I330" i="5"/>
  <c r="J286" i="5"/>
  <c r="K286" i="5" s="1"/>
  <c r="L286" i="5" s="1"/>
  <c r="M286" i="5" s="1"/>
  <c r="N286" i="5" s="1"/>
  <c r="O286" i="5" s="1"/>
  <c r="P286" i="5" s="1"/>
  <c r="Q286" i="5" s="1"/>
  <c r="I286" i="5"/>
  <c r="H163" i="5"/>
  <c r="H162" i="5"/>
  <c r="H161" i="5"/>
  <c r="H160" i="5"/>
  <c r="H158" i="5"/>
  <c r="H157" i="5"/>
  <c r="H156" i="5"/>
  <c r="H118" i="5"/>
  <c r="H117" i="5"/>
  <c r="H116" i="5"/>
  <c r="H115" i="5"/>
  <c r="H105" i="5"/>
  <c r="H103" i="5"/>
  <c r="H95" i="5"/>
  <c r="H91" i="5"/>
  <c r="H90" i="5"/>
  <c r="H89" i="5"/>
  <c r="H88" i="5"/>
  <c r="H78" i="5"/>
  <c r="H77" i="5"/>
  <c r="H66" i="5"/>
  <c r="H51" i="5"/>
  <c r="H47" i="5"/>
  <c r="H45" i="5"/>
  <c r="H19" i="5" l="1"/>
  <c r="G19" i="5" l="1"/>
  <c r="F12" i="18"/>
  <c r="B123" i="17"/>
  <c r="B133" i="17"/>
  <c r="D133" i="17"/>
  <c r="D137" i="17"/>
  <c r="D143" i="17"/>
  <c r="K11" i="4"/>
  <c r="H9" i="19"/>
  <c r="H10" i="19"/>
  <c r="H11" i="19"/>
  <c r="K18" i="4"/>
  <c r="K21" i="4"/>
  <c r="D123" i="17"/>
  <c r="B124" i="17"/>
  <c r="D124" i="17"/>
  <c r="B125" i="17"/>
  <c r="D125" i="17"/>
  <c r="B126" i="17"/>
  <c r="D126" i="17"/>
  <c r="B127" i="17"/>
  <c r="D127" i="17"/>
  <c r="B128" i="17"/>
  <c r="D128" i="17"/>
  <c r="B129" i="17"/>
  <c r="D129" i="17"/>
  <c r="B130" i="17"/>
  <c r="D130" i="17"/>
  <c r="B131" i="17"/>
  <c r="D131" i="17"/>
  <c r="B132" i="17"/>
  <c r="D132" i="17"/>
  <c r="D134" i="17"/>
  <c r="D136" i="17"/>
  <c r="D140" i="17"/>
  <c r="D145" i="17"/>
  <c r="K25" i="4"/>
  <c r="K33" i="4"/>
  <c r="H7" i="19"/>
  <c r="K47" i="4"/>
  <c r="H6" i="19"/>
  <c r="K49" i="4"/>
  <c r="H5" i="19"/>
  <c r="K53" i="4"/>
  <c r="K65" i="4"/>
  <c r="K70" i="4"/>
  <c r="K394" i="4"/>
  <c r="E12" i="18"/>
  <c r="B93" i="17"/>
  <c r="B103" i="17"/>
  <c r="D103" i="17"/>
  <c r="D107" i="17"/>
  <c r="D113" i="17"/>
  <c r="J11" i="4"/>
  <c r="G9" i="19"/>
  <c r="G10" i="19"/>
  <c r="G11" i="19"/>
  <c r="J18" i="4"/>
  <c r="J21" i="4"/>
  <c r="D93" i="17"/>
  <c r="B94" i="17"/>
  <c r="D94" i="17"/>
  <c r="B95" i="17"/>
  <c r="D95" i="17"/>
  <c r="B96" i="17"/>
  <c r="D96" i="17"/>
  <c r="B97" i="17"/>
  <c r="D97" i="17"/>
  <c r="B98" i="17"/>
  <c r="D98" i="17"/>
  <c r="B99" i="17"/>
  <c r="D99" i="17"/>
  <c r="B100" i="17"/>
  <c r="D100" i="17"/>
  <c r="B101" i="17"/>
  <c r="D101" i="17"/>
  <c r="B102" i="17"/>
  <c r="D102" i="17"/>
  <c r="D104" i="17"/>
  <c r="D106" i="17"/>
  <c r="D110" i="17"/>
  <c r="D115" i="17"/>
  <c r="J25" i="4"/>
  <c r="J33" i="4"/>
  <c r="G7" i="19"/>
  <c r="J47" i="4"/>
  <c r="G6" i="19"/>
  <c r="J49" i="4"/>
  <c r="G5" i="19"/>
  <c r="J53" i="4"/>
  <c r="J65" i="4"/>
  <c r="J70" i="4"/>
  <c r="J394" i="4"/>
  <c r="F9" i="19"/>
  <c r="F10" i="19"/>
  <c r="F11" i="19"/>
  <c r="I18" i="4"/>
  <c r="E9" i="19"/>
  <c r="E10" i="19"/>
  <c r="E11" i="19"/>
  <c r="H18" i="4"/>
  <c r="G272" i="4"/>
  <c r="H272" i="4"/>
  <c r="I272" i="4"/>
  <c r="J272" i="4"/>
  <c r="K272" i="4"/>
  <c r="G271" i="4"/>
  <c r="H271" i="4"/>
  <c r="I271" i="4"/>
  <c r="J271" i="4"/>
  <c r="K271" i="4"/>
  <c r="G270" i="4"/>
  <c r="H270" i="4"/>
  <c r="I270" i="4"/>
  <c r="J270" i="4"/>
  <c r="K270" i="4"/>
  <c r="G269" i="4"/>
  <c r="H269" i="4"/>
  <c r="I269" i="4"/>
  <c r="J269" i="4"/>
  <c r="K269" i="4"/>
  <c r="G268" i="4"/>
  <c r="H268" i="4"/>
  <c r="I268" i="4"/>
  <c r="J268" i="4"/>
  <c r="K268" i="4"/>
  <c r="H21" i="19"/>
  <c r="K267" i="4"/>
  <c r="G21" i="19"/>
  <c r="J267" i="4"/>
  <c r="F21" i="19"/>
  <c r="I267" i="4"/>
  <c r="G279" i="4"/>
  <c r="H279" i="4"/>
  <c r="I279" i="4"/>
  <c r="J279" i="4"/>
  <c r="K279" i="4"/>
  <c r="G278" i="4"/>
  <c r="H278" i="4"/>
  <c r="I278" i="4"/>
  <c r="J278" i="4"/>
  <c r="K278" i="4"/>
  <c r="G277" i="4"/>
  <c r="H277" i="4"/>
  <c r="I277" i="4"/>
  <c r="J277" i="4"/>
  <c r="K277" i="4"/>
  <c r="G248" i="4"/>
  <c r="H248" i="4"/>
  <c r="I248" i="4"/>
  <c r="J248" i="4"/>
  <c r="K248" i="4"/>
  <c r="G247" i="4"/>
  <c r="H247" i="4"/>
  <c r="I247" i="4"/>
  <c r="J247" i="4"/>
  <c r="K247" i="4"/>
  <c r="G246" i="4"/>
  <c r="H246" i="4"/>
  <c r="I246" i="4"/>
  <c r="J246" i="4"/>
  <c r="K246" i="4"/>
  <c r="G222" i="4"/>
  <c r="H222" i="4"/>
  <c r="I222" i="4"/>
  <c r="J222" i="4"/>
  <c r="K222" i="4"/>
  <c r="G221" i="4"/>
  <c r="H221" i="4"/>
  <c r="I221" i="4"/>
  <c r="J221" i="4"/>
  <c r="K221" i="4"/>
  <c r="G220" i="4"/>
  <c r="H220" i="4"/>
  <c r="I220" i="4"/>
  <c r="J220" i="4"/>
  <c r="K220" i="4"/>
  <c r="G182" i="4"/>
  <c r="H182" i="4"/>
  <c r="I182" i="4"/>
  <c r="J182" i="4"/>
  <c r="K182" i="4"/>
  <c r="G181" i="4"/>
  <c r="H181" i="4"/>
  <c r="I181" i="4"/>
  <c r="J181" i="4"/>
  <c r="K181" i="4"/>
  <c r="G180" i="4"/>
  <c r="H180" i="4"/>
  <c r="I180" i="4"/>
  <c r="J180" i="4"/>
  <c r="K180" i="4"/>
  <c r="G165" i="4"/>
  <c r="H165" i="4"/>
  <c r="I165" i="4"/>
  <c r="J165" i="4"/>
  <c r="K165" i="4"/>
  <c r="G164" i="4"/>
  <c r="H164" i="4"/>
  <c r="I164" i="4"/>
  <c r="J164" i="4"/>
  <c r="K164" i="4"/>
  <c r="G163" i="4"/>
  <c r="H163" i="4"/>
  <c r="I163" i="4"/>
  <c r="J163" i="4"/>
  <c r="K163" i="4"/>
  <c r="G276" i="4"/>
  <c r="H276" i="4"/>
  <c r="I276" i="4"/>
  <c r="J276" i="4"/>
  <c r="K276" i="4"/>
  <c r="G245" i="4"/>
  <c r="H245" i="4"/>
  <c r="I245" i="4"/>
  <c r="J245" i="4"/>
  <c r="K245" i="4"/>
  <c r="G219" i="4"/>
  <c r="H219" i="4"/>
  <c r="I219" i="4"/>
  <c r="J219" i="4"/>
  <c r="K219" i="4"/>
  <c r="G179" i="4"/>
  <c r="H179" i="4"/>
  <c r="I179" i="4"/>
  <c r="J179" i="4"/>
  <c r="K179" i="4"/>
  <c r="G162" i="4"/>
  <c r="H162" i="4"/>
  <c r="I162" i="4"/>
  <c r="J162" i="4"/>
  <c r="K162" i="4"/>
  <c r="G105" i="4"/>
  <c r="H105" i="4"/>
  <c r="I105" i="4"/>
  <c r="J105" i="4"/>
  <c r="K105" i="4"/>
  <c r="G107" i="4"/>
  <c r="H107" i="4"/>
  <c r="I107" i="4"/>
  <c r="J107" i="4"/>
  <c r="K107" i="4"/>
  <c r="K120" i="4"/>
  <c r="J120" i="4"/>
  <c r="I120" i="4"/>
  <c r="K119" i="4"/>
  <c r="J119" i="4"/>
  <c r="I119" i="4"/>
  <c r="K118" i="4"/>
  <c r="J118" i="4"/>
  <c r="I118" i="4"/>
  <c r="H120" i="4"/>
  <c r="H119" i="4"/>
  <c r="H118" i="4"/>
  <c r="G117" i="4"/>
  <c r="H117" i="4"/>
  <c r="I117" i="4"/>
  <c r="J117" i="4"/>
  <c r="K117" i="4"/>
  <c r="G79" i="4"/>
  <c r="H79" i="4"/>
  <c r="I79" i="4"/>
  <c r="J79" i="4"/>
  <c r="K79" i="4"/>
  <c r="G80" i="4"/>
  <c r="H80" i="4"/>
  <c r="I80" i="4"/>
  <c r="J80" i="4"/>
  <c r="K80" i="4"/>
  <c r="K93" i="4"/>
  <c r="J93" i="4"/>
  <c r="I93" i="4"/>
  <c r="K92" i="4"/>
  <c r="J92" i="4"/>
  <c r="I92" i="4"/>
  <c r="K91" i="4"/>
  <c r="J91" i="4"/>
  <c r="I91" i="4"/>
  <c r="H93" i="4"/>
  <c r="H92" i="4"/>
  <c r="H91" i="4"/>
  <c r="G90" i="4"/>
  <c r="H90" i="4"/>
  <c r="I90" i="4"/>
  <c r="J90" i="4"/>
  <c r="K90" i="4"/>
  <c r="H33" i="19"/>
  <c r="K332" i="4"/>
  <c r="G33" i="19"/>
  <c r="J332" i="4"/>
  <c r="F33" i="19"/>
  <c r="I332" i="4"/>
  <c r="E33" i="19"/>
  <c r="H332" i="4"/>
  <c r="H19" i="19"/>
  <c r="K313" i="4"/>
  <c r="G19" i="19"/>
  <c r="J313" i="4"/>
  <c r="F19" i="19"/>
  <c r="I313" i="4"/>
  <c r="E19" i="19"/>
  <c r="H313" i="4"/>
  <c r="H53" i="19"/>
  <c r="K312" i="4"/>
  <c r="G53" i="19"/>
  <c r="J312" i="4"/>
  <c r="F53" i="19"/>
  <c r="I312" i="4"/>
  <c r="E53" i="19"/>
  <c r="H312" i="4"/>
  <c r="H32" i="19"/>
  <c r="K288" i="4"/>
  <c r="G32" i="19"/>
  <c r="J288" i="4"/>
  <c r="F32" i="19"/>
  <c r="I288" i="4"/>
  <c r="E32" i="19"/>
  <c r="H288" i="4"/>
  <c r="E21" i="19"/>
  <c r="H267" i="4"/>
  <c r="H22" i="19"/>
  <c r="H41" i="19"/>
  <c r="D47" i="19"/>
  <c r="E47" i="19"/>
  <c r="F47" i="19"/>
  <c r="G47" i="19"/>
  <c r="H47" i="19"/>
  <c r="K257" i="4"/>
  <c r="G22" i="19"/>
  <c r="G41" i="19"/>
  <c r="J257" i="4"/>
  <c r="F22" i="19"/>
  <c r="F41" i="19"/>
  <c r="I257" i="4"/>
  <c r="E22" i="19"/>
  <c r="E41" i="19"/>
  <c r="H257" i="4"/>
  <c r="H28" i="19"/>
  <c r="K238" i="4"/>
  <c r="G28" i="19"/>
  <c r="J238" i="4"/>
  <c r="F28" i="19"/>
  <c r="I238" i="4"/>
  <c r="E28" i="19"/>
  <c r="H238" i="4"/>
  <c r="H40" i="19"/>
  <c r="H55" i="19"/>
  <c r="K234" i="4"/>
  <c r="G40" i="19"/>
  <c r="G55" i="19"/>
  <c r="J234" i="4"/>
  <c r="F40" i="19"/>
  <c r="F55" i="19"/>
  <c r="I234" i="4"/>
  <c r="E40" i="19"/>
  <c r="E55" i="19"/>
  <c r="H234" i="4"/>
  <c r="H27" i="19"/>
  <c r="K217" i="4"/>
  <c r="G27" i="19"/>
  <c r="J217" i="4"/>
  <c r="F27" i="19"/>
  <c r="I217" i="4"/>
  <c r="H25" i="19"/>
  <c r="K216" i="4"/>
  <c r="G25" i="19"/>
  <c r="J216" i="4"/>
  <c r="F25" i="19"/>
  <c r="I216" i="4"/>
  <c r="H56" i="19"/>
  <c r="K215" i="4"/>
  <c r="G56" i="19"/>
  <c r="J215" i="4"/>
  <c r="F56" i="19"/>
  <c r="I215" i="4"/>
  <c r="H58" i="19"/>
  <c r="K214" i="4"/>
  <c r="G58" i="19"/>
  <c r="J214" i="4"/>
  <c r="F58" i="19"/>
  <c r="I214" i="4"/>
  <c r="H42" i="19"/>
  <c r="K212" i="4"/>
  <c r="G42" i="19"/>
  <c r="J212" i="4"/>
  <c r="F42" i="19"/>
  <c r="I212" i="4"/>
  <c r="E27" i="19"/>
  <c r="H217" i="4"/>
  <c r="E25" i="19"/>
  <c r="H216" i="4"/>
  <c r="E56" i="19"/>
  <c r="H215" i="4"/>
  <c r="E58" i="19"/>
  <c r="H214" i="4"/>
  <c r="E42" i="19"/>
  <c r="H212" i="4"/>
  <c r="H18" i="19"/>
  <c r="H23" i="19"/>
  <c r="H29" i="19"/>
  <c r="H54" i="19"/>
  <c r="H57" i="19"/>
  <c r="K210" i="4"/>
  <c r="G18" i="19"/>
  <c r="G23" i="19"/>
  <c r="G29" i="19"/>
  <c r="G54" i="19"/>
  <c r="G57" i="19"/>
  <c r="J210" i="4"/>
  <c r="F18" i="19"/>
  <c r="F23" i="19"/>
  <c r="F29" i="19"/>
  <c r="F54" i="19"/>
  <c r="F57" i="19"/>
  <c r="I210" i="4"/>
  <c r="E18" i="19"/>
  <c r="E23" i="19"/>
  <c r="E29" i="19"/>
  <c r="E54" i="19"/>
  <c r="E57" i="19"/>
  <c r="H210" i="4"/>
  <c r="H30" i="19"/>
  <c r="K109" i="4"/>
  <c r="G30" i="19"/>
  <c r="J109" i="4"/>
  <c r="F30" i="19"/>
  <c r="I109" i="4"/>
  <c r="E30" i="19"/>
  <c r="H109" i="4"/>
  <c r="H26" i="19"/>
  <c r="K97" i="4"/>
  <c r="G26" i="19"/>
  <c r="J97" i="4"/>
  <c r="F26" i="19"/>
  <c r="I97" i="4"/>
  <c r="E26" i="19"/>
  <c r="H97" i="4"/>
  <c r="H24" i="19"/>
  <c r="K87" i="4"/>
  <c r="G24" i="19"/>
  <c r="J87" i="4"/>
  <c r="F24" i="19"/>
  <c r="I87" i="4"/>
  <c r="E24" i="19"/>
  <c r="H87" i="4"/>
  <c r="G17" i="19"/>
  <c r="K82" i="4"/>
  <c r="F17" i="19"/>
  <c r="J82" i="4"/>
  <c r="E17" i="19"/>
  <c r="I82" i="4"/>
  <c r="D17" i="19"/>
  <c r="H82" i="4"/>
  <c r="G256" i="4"/>
  <c r="H256" i="4"/>
  <c r="I256" i="4"/>
  <c r="J256" i="4"/>
  <c r="K256" i="4"/>
  <c r="G233" i="4"/>
  <c r="H233" i="4"/>
  <c r="I233" i="4"/>
  <c r="J233" i="4"/>
  <c r="K233" i="4"/>
  <c r="G209" i="4"/>
  <c r="H209" i="4"/>
  <c r="I209" i="4"/>
  <c r="J209" i="4"/>
  <c r="K209" i="4"/>
  <c r="G208" i="4"/>
  <c r="H208" i="4"/>
  <c r="I208" i="4"/>
  <c r="J208" i="4"/>
  <c r="K208" i="4"/>
  <c r="G207" i="4"/>
  <c r="H207" i="4"/>
  <c r="I207" i="4"/>
  <c r="J207" i="4"/>
  <c r="K207" i="4"/>
  <c r="G174" i="4"/>
  <c r="H174" i="4"/>
  <c r="I174" i="4"/>
  <c r="J174" i="4"/>
  <c r="K174" i="4"/>
  <c r="G160" i="4"/>
  <c r="H160" i="4"/>
  <c r="I160" i="4"/>
  <c r="J160" i="4"/>
  <c r="K160" i="4"/>
  <c r="G159" i="4"/>
  <c r="H159" i="4"/>
  <c r="I159" i="4"/>
  <c r="J159" i="4"/>
  <c r="K159" i="4"/>
  <c r="G158" i="4"/>
  <c r="H158" i="4"/>
  <c r="I158" i="4"/>
  <c r="J158" i="4"/>
  <c r="K158" i="4"/>
  <c r="D28" i="19"/>
  <c r="G238" i="10"/>
  <c r="D20" i="19"/>
  <c r="G235" i="10"/>
  <c r="D40" i="19"/>
  <c r="D55" i="19"/>
  <c r="G234" i="10"/>
  <c r="D27" i="19"/>
  <c r="G217" i="10"/>
  <c r="D25" i="19"/>
  <c r="G216" i="10"/>
  <c r="D56" i="19"/>
  <c r="G215" i="10"/>
  <c r="D58" i="19"/>
  <c r="G214" i="10"/>
  <c r="D42" i="19"/>
  <c r="G212" i="10"/>
  <c r="D18" i="19"/>
  <c r="D54" i="19"/>
  <c r="D23" i="19"/>
  <c r="D29" i="19"/>
  <c r="D57" i="19"/>
  <c r="G210" i="10"/>
  <c r="D30" i="19"/>
  <c r="D26" i="19"/>
  <c r="G97" i="10"/>
  <c r="D24" i="19"/>
  <c r="G87" i="10"/>
  <c r="G82" i="10"/>
  <c r="F5" i="19"/>
  <c r="I53" i="4"/>
  <c r="E5" i="19"/>
  <c r="H53" i="4"/>
  <c r="F6" i="19"/>
  <c r="I49" i="4"/>
  <c r="E6" i="19"/>
  <c r="H49" i="4"/>
  <c r="F7" i="19"/>
  <c r="I47" i="4"/>
  <c r="E7" i="19"/>
  <c r="H47" i="4"/>
  <c r="H65" i="4"/>
  <c r="C12" i="18"/>
  <c r="B33" i="17"/>
  <c r="B43" i="17"/>
  <c r="D43" i="17"/>
  <c r="D47" i="17"/>
  <c r="D53" i="17"/>
  <c r="H11" i="4"/>
  <c r="H21" i="4"/>
  <c r="D33" i="17"/>
  <c r="B34" i="17"/>
  <c r="D34" i="17"/>
  <c r="B35" i="17"/>
  <c r="D35" i="17"/>
  <c r="B36" i="17"/>
  <c r="D36" i="17"/>
  <c r="B37" i="17"/>
  <c r="D37" i="17"/>
  <c r="B38" i="17"/>
  <c r="D38" i="17"/>
  <c r="B39" i="17"/>
  <c r="D39" i="17"/>
  <c r="B40" i="17"/>
  <c r="D40" i="17"/>
  <c r="B41" i="17"/>
  <c r="D41" i="17"/>
  <c r="B42" i="17"/>
  <c r="D42" i="17"/>
  <c r="D44" i="17"/>
  <c r="D46" i="17"/>
  <c r="D50" i="17"/>
  <c r="D55" i="17"/>
  <c r="H25" i="4"/>
  <c r="H33" i="4"/>
  <c r="H70" i="4"/>
  <c r="D7" i="19"/>
  <c r="G47" i="10"/>
  <c r="D12" i="18"/>
  <c r="B63" i="17"/>
  <c r="D63" i="17"/>
  <c r="B64" i="17"/>
  <c r="D64" i="17"/>
  <c r="B65" i="17"/>
  <c r="D65" i="17"/>
  <c r="B66" i="17"/>
  <c r="D66" i="17"/>
  <c r="B67" i="17"/>
  <c r="D67" i="17"/>
  <c r="B68" i="17"/>
  <c r="D68" i="17"/>
  <c r="B69" i="17"/>
  <c r="D69" i="17"/>
  <c r="B70" i="17"/>
  <c r="D70" i="17"/>
  <c r="B71" i="17"/>
  <c r="D71" i="17"/>
  <c r="B72" i="17"/>
  <c r="D72" i="17"/>
  <c r="B73" i="17"/>
  <c r="D73" i="17"/>
  <c r="D74" i="17"/>
  <c r="D76" i="17"/>
  <c r="D77" i="17"/>
  <c r="D80" i="17"/>
  <c r="D83" i="17"/>
  <c r="D85" i="17"/>
  <c r="I25" i="4"/>
  <c r="I11" i="4"/>
  <c r="D147" i="17"/>
  <c r="D141" i="17"/>
  <c r="D87" i="17"/>
  <c r="D81" i="17"/>
  <c r="D117" i="17"/>
  <c r="D111" i="17"/>
  <c r="D51" i="17"/>
  <c r="D57" i="17"/>
  <c r="B12" i="18"/>
  <c r="B4" i="17"/>
  <c r="G252" i="4"/>
  <c r="G251" i="4"/>
  <c r="G250" i="4"/>
  <c r="G249" i="4"/>
  <c r="G244" i="4"/>
  <c r="G243" i="4"/>
  <c r="G242" i="4"/>
  <c r="G241" i="4"/>
  <c r="G240" i="4"/>
  <c r="G239" i="4"/>
  <c r="G238" i="4"/>
  <c r="G237" i="4"/>
  <c r="G236" i="4"/>
  <c r="G235" i="4"/>
  <c r="G253" i="10"/>
  <c r="G234" i="4"/>
  <c r="G388" i="4"/>
  <c r="G387" i="4"/>
  <c r="G386" i="4"/>
  <c r="G385" i="4"/>
  <c r="G384" i="4"/>
  <c r="G383" i="4"/>
  <c r="G382" i="4"/>
  <c r="G376" i="4"/>
  <c r="G375" i="4"/>
  <c r="G374" i="4"/>
  <c r="G373" i="4"/>
  <c r="G372" i="4"/>
  <c r="G371" i="4"/>
  <c r="G370" i="4"/>
  <c r="G369" i="4"/>
  <c r="G363" i="4"/>
  <c r="G362" i="4"/>
  <c r="G361" i="4"/>
  <c r="G360" i="4"/>
  <c r="G359" i="4"/>
  <c r="G358" i="4"/>
  <c r="G357" i="4"/>
  <c r="G356" i="4"/>
  <c r="G355" i="4"/>
  <c r="G354" i="4"/>
  <c r="G353" i="4"/>
  <c r="G348" i="4"/>
  <c r="G347" i="4"/>
  <c r="G346" i="4"/>
  <c r="G345" i="4"/>
  <c r="G344" i="4"/>
  <c r="G343" i="4"/>
  <c r="G342" i="4"/>
  <c r="G341" i="4"/>
  <c r="G340" i="4"/>
  <c r="G339" i="4"/>
  <c r="G338" i="4"/>
  <c r="G337" i="4"/>
  <c r="G336" i="4"/>
  <c r="G335" i="4"/>
  <c r="G334" i="4"/>
  <c r="G333" i="4"/>
  <c r="G332" i="4"/>
  <c r="G330" i="4"/>
  <c r="G331" i="4"/>
  <c r="G349" i="4"/>
  <c r="G364" i="4"/>
  <c r="G367" i="4"/>
  <c r="G322" i="4"/>
  <c r="G321" i="4"/>
  <c r="G320" i="4"/>
  <c r="G319" i="4"/>
  <c r="G318" i="4"/>
  <c r="G317" i="4"/>
  <c r="G316" i="4"/>
  <c r="G315" i="4"/>
  <c r="G314" i="4"/>
  <c r="G313" i="4"/>
  <c r="G312" i="4"/>
  <c r="G311" i="4"/>
  <c r="G306" i="4"/>
  <c r="G305" i="4"/>
  <c r="G304" i="4"/>
  <c r="G303" i="4"/>
  <c r="G302" i="4"/>
  <c r="G301" i="4"/>
  <c r="G300" i="4"/>
  <c r="G299" i="4"/>
  <c r="G298" i="4"/>
  <c r="G297" i="4"/>
  <c r="G296" i="4"/>
  <c r="G295" i="4"/>
  <c r="G294" i="4"/>
  <c r="G293" i="4"/>
  <c r="G292" i="4"/>
  <c r="G291" i="4"/>
  <c r="G290" i="4"/>
  <c r="G288" i="4"/>
  <c r="G284" i="4"/>
  <c r="G283" i="4"/>
  <c r="G282" i="4"/>
  <c r="G281" i="4"/>
  <c r="G280" i="4"/>
  <c r="G275" i="4"/>
  <c r="G274" i="4"/>
  <c r="G273" i="4"/>
  <c r="G267" i="4"/>
  <c r="G266" i="4"/>
  <c r="G265" i="4"/>
  <c r="G263" i="4"/>
  <c r="G262" i="4"/>
  <c r="G261" i="4"/>
  <c r="G260" i="4"/>
  <c r="G259" i="4"/>
  <c r="G258" i="4"/>
  <c r="G285" i="10"/>
  <c r="G257" i="4"/>
  <c r="G227" i="4"/>
  <c r="G226" i="4"/>
  <c r="G225" i="4"/>
  <c r="G224" i="4"/>
  <c r="G223" i="4"/>
  <c r="G218" i="4"/>
  <c r="G217" i="4"/>
  <c r="G216" i="4"/>
  <c r="G215" i="4"/>
  <c r="G214" i="4"/>
  <c r="G213" i="4"/>
  <c r="G212" i="4"/>
  <c r="G211" i="4"/>
  <c r="G228" i="10"/>
  <c r="G210" i="4"/>
  <c r="G202" i="4"/>
  <c r="G201" i="4"/>
  <c r="G200" i="4"/>
  <c r="G199" i="4"/>
  <c r="G198" i="4"/>
  <c r="G197" i="4"/>
  <c r="G196" i="4"/>
  <c r="G195" i="4"/>
  <c r="G194" i="4"/>
  <c r="G193" i="4"/>
  <c r="G192" i="4"/>
  <c r="G187" i="4"/>
  <c r="G186" i="4"/>
  <c r="G185" i="4"/>
  <c r="G184" i="4"/>
  <c r="G183" i="4"/>
  <c r="G178" i="4"/>
  <c r="G177" i="4"/>
  <c r="G176" i="4"/>
  <c r="G175" i="4"/>
  <c r="G170" i="4"/>
  <c r="G169" i="4"/>
  <c r="G168" i="4"/>
  <c r="G167" i="4"/>
  <c r="G166" i="4"/>
  <c r="G161" i="4"/>
  <c r="G152" i="4"/>
  <c r="G151" i="4"/>
  <c r="G150" i="4"/>
  <c r="G149" i="4"/>
  <c r="G148" i="4"/>
  <c r="G147" i="4"/>
  <c r="G146" i="4"/>
  <c r="G145" i="4"/>
  <c r="G144" i="4"/>
  <c r="G143" i="4"/>
  <c r="G142" i="4"/>
  <c r="G141" i="4"/>
  <c r="G140" i="4"/>
  <c r="G139" i="4"/>
  <c r="G137" i="4"/>
  <c r="G136" i="4"/>
  <c r="G135" i="4"/>
  <c r="G134" i="4"/>
  <c r="G133" i="4"/>
  <c r="G132" i="4"/>
  <c r="G126" i="4"/>
  <c r="G125" i="4"/>
  <c r="G124" i="4"/>
  <c r="G123" i="4"/>
  <c r="G122" i="4"/>
  <c r="G121" i="4"/>
  <c r="G120" i="4"/>
  <c r="G119" i="4"/>
  <c r="G118" i="4"/>
  <c r="G116" i="4"/>
  <c r="G115" i="4"/>
  <c r="G114" i="4"/>
  <c r="G113" i="4"/>
  <c r="G111" i="4"/>
  <c r="G110" i="4"/>
  <c r="G127" i="10"/>
  <c r="G109" i="4"/>
  <c r="G106" i="4"/>
  <c r="G108" i="4"/>
  <c r="G127" i="4"/>
  <c r="G99" i="4"/>
  <c r="G98" i="4"/>
  <c r="G97" i="4"/>
  <c r="G96" i="4"/>
  <c r="G95" i="4"/>
  <c r="G94" i="4"/>
  <c r="G93" i="4"/>
  <c r="G92" i="4"/>
  <c r="G91" i="4"/>
  <c r="G89" i="4"/>
  <c r="G88" i="4"/>
  <c r="G87" i="4"/>
  <c r="G86" i="4"/>
  <c r="G84" i="4"/>
  <c r="G83" i="4"/>
  <c r="G82" i="4"/>
  <c r="G81" i="4"/>
  <c r="D8" i="19"/>
  <c r="G68" i="10"/>
  <c r="G68" i="4"/>
  <c r="G64" i="4"/>
  <c r="G63" i="4"/>
  <c r="G62" i="4"/>
  <c r="G61" i="4"/>
  <c r="G59" i="4"/>
  <c r="G58" i="4"/>
  <c r="G57" i="4"/>
  <c r="G56" i="4"/>
  <c r="G55" i="4"/>
  <c r="G54" i="4"/>
  <c r="D5" i="19"/>
  <c r="G53" i="10"/>
  <c r="D6" i="19"/>
  <c r="G49" i="10"/>
  <c r="G65" i="10"/>
  <c r="G11" i="10"/>
  <c r="G21" i="10"/>
  <c r="G25" i="10"/>
  <c r="G33" i="10"/>
  <c r="G70" i="10"/>
  <c r="G53" i="4"/>
  <c r="G43" i="4"/>
  <c r="G45" i="4"/>
  <c r="G47" i="4"/>
  <c r="G49" i="4"/>
  <c r="G50" i="4"/>
  <c r="G51" i="4"/>
  <c r="G65" i="4"/>
  <c r="G11" i="4"/>
  <c r="G12" i="4"/>
  <c r="G13" i="4"/>
  <c r="G14" i="4"/>
  <c r="G16" i="4"/>
  <c r="G17" i="4"/>
  <c r="G18" i="4"/>
  <c r="G19" i="4"/>
  <c r="G21" i="4"/>
  <c r="G25" i="4"/>
  <c r="G26" i="4"/>
  <c r="G28" i="4"/>
  <c r="G29" i="4"/>
  <c r="G30" i="4"/>
  <c r="G31" i="4"/>
  <c r="G32" i="4"/>
  <c r="G33" i="4"/>
  <c r="G70" i="4"/>
  <c r="D11" i="19"/>
  <c r="D10" i="19"/>
  <c r="D9" i="19"/>
  <c r="D53" i="19"/>
  <c r="H46" i="19"/>
  <c r="G46" i="19"/>
  <c r="F46" i="19"/>
  <c r="E46" i="19"/>
  <c r="D46" i="19"/>
  <c r="H45" i="19"/>
  <c r="G45" i="19"/>
  <c r="F45" i="19"/>
  <c r="E45" i="19"/>
  <c r="D45" i="19"/>
  <c r="H44" i="19"/>
  <c r="G44" i="19"/>
  <c r="F44" i="19"/>
  <c r="E44" i="19"/>
  <c r="D44" i="19"/>
  <c r="H43" i="19"/>
  <c r="G43" i="19"/>
  <c r="F43" i="19"/>
  <c r="E43" i="19"/>
  <c r="D43" i="19"/>
  <c r="D41" i="19"/>
  <c r="D22" i="19"/>
  <c r="D21" i="19"/>
  <c r="H20" i="19"/>
  <c r="G20" i="19"/>
  <c r="F20" i="19"/>
  <c r="E20" i="19"/>
  <c r="D19" i="19"/>
  <c r="H17" i="19"/>
  <c r="H8" i="19"/>
  <c r="G8" i="19"/>
  <c r="F8" i="19"/>
  <c r="E8" i="19"/>
  <c r="C57" i="16"/>
  <c r="K57" i="16"/>
  <c r="H57" i="16"/>
  <c r="G57" i="16"/>
  <c r="J27" i="16"/>
  <c r="I27" i="16"/>
  <c r="J24" i="16"/>
  <c r="I24" i="16"/>
  <c r="J23" i="16"/>
  <c r="I23" i="16"/>
  <c r="J26" i="16"/>
  <c r="I26" i="16"/>
  <c r="J22" i="16"/>
  <c r="I22" i="16"/>
  <c r="J21" i="16"/>
  <c r="I21" i="16"/>
  <c r="J25" i="16"/>
  <c r="I25" i="16"/>
  <c r="J20" i="16"/>
  <c r="I20" i="16"/>
  <c r="J19" i="16"/>
  <c r="I19" i="16"/>
  <c r="J10" i="16"/>
  <c r="I10" i="16"/>
  <c r="J9" i="16"/>
  <c r="I9" i="16"/>
  <c r="J8" i="16"/>
  <c r="I8" i="16"/>
  <c r="J7" i="16"/>
  <c r="I7" i="16"/>
  <c r="J6" i="16"/>
  <c r="I6" i="16"/>
  <c r="J5" i="16"/>
  <c r="I5" i="16"/>
  <c r="J4" i="16"/>
  <c r="I4" i="16"/>
  <c r="J3" i="16"/>
  <c r="I3" i="16"/>
  <c r="J56" i="16"/>
  <c r="I56" i="16"/>
  <c r="J55" i="16"/>
  <c r="I55" i="16"/>
  <c r="J54" i="16"/>
  <c r="I54" i="16"/>
  <c r="J53" i="16"/>
  <c r="I53" i="16"/>
  <c r="J52" i="16"/>
  <c r="I52" i="16"/>
  <c r="J51" i="16"/>
  <c r="I51" i="16"/>
  <c r="J50" i="16"/>
  <c r="I50" i="16"/>
  <c r="J49" i="16"/>
  <c r="I49" i="16"/>
  <c r="J48" i="16"/>
  <c r="I48" i="16"/>
  <c r="J47" i="16"/>
  <c r="I47" i="16"/>
  <c r="J46" i="16"/>
  <c r="I46" i="16"/>
  <c r="J45" i="16"/>
  <c r="I45" i="16"/>
  <c r="J44" i="16"/>
  <c r="I44" i="16"/>
  <c r="J43" i="16"/>
  <c r="I43" i="16"/>
  <c r="J42" i="16"/>
  <c r="I42" i="16"/>
  <c r="J41" i="16"/>
  <c r="I41" i="16"/>
  <c r="J40" i="16"/>
  <c r="I40" i="16"/>
  <c r="J39" i="16"/>
  <c r="I39" i="16"/>
  <c r="J38" i="16"/>
  <c r="I38" i="16"/>
  <c r="J37" i="16"/>
  <c r="I37" i="16"/>
  <c r="J36" i="16"/>
  <c r="I36" i="16"/>
  <c r="J35" i="16"/>
  <c r="I35" i="16"/>
  <c r="J34" i="16"/>
  <c r="I34" i="16"/>
  <c r="J33" i="16"/>
  <c r="I33" i="16"/>
  <c r="J32" i="16"/>
  <c r="I32" i="16"/>
  <c r="J31" i="16"/>
  <c r="I31" i="16"/>
  <c r="J30" i="16"/>
  <c r="I30" i="16"/>
  <c r="I11" i="16"/>
  <c r="I12" i="16"/>
  <c r="I13" i="16"/>
  <c r="I14" i="16"/>
  <c r="I15" i="16"/>
  <c r="I16" i="16"/>
  <c r="I17" i="16"/>
  <c r="I18" i="16"/>
  <c r="I28" i="16"/>
  <c r="I29" i="16"/>
  <c r="I57" i="16"/>
  <c r="J29" i="16"/>
  <c r="J11" i="16"/>
  <c r="J12" i="16"/>
  <c r="J13" i="16"/>
  <c r="J14" i="16"/>
  <c r="J15" i="16"/>
  <c r="J16" i="16"/>
  <c r="J17" i="16"/>
  <c r="J18" i="16"/>
  <c r="J28" i="16"/>
  <c r="J57" i="16"/>
  <c r="F21" i="6"/>
  <c r="F15" i="6"/>
  <c r="F17" i="6"/>
  <c r="K323" i="4"/>
  <c r="J323" i="4"/>
  <c r="I323" i="4"/>
  <c r="H323" i="4"/>
  <c r="K171" i="4"/>
  <c r="J171" i="4"/>
  <c r="I171" i="4"/>
  <c r="G153" i="4"/>
  <c r="G171" i="4"/>
  <c r="G188" i="4"/>
  <c r="G203" i="4"/>
  <c r="G307" i="4"/>
  <c r="G323" i="4"/>
  <c r="G378" i="4"/>
  <c r="G389" i="4"/>
  <c r="K396" i="4"/>
  <c r="K389" i="4"/>
  <c r="K228" i="4"/>
  <c r="K188" i="4"/>
  <c r="K285" i="4"/>
  <c r="K203" i="4"/>
  <c r="K253" i="4"/>
  <c r="K307" i="4"/>
  <c r="K100" i="4"/>
  <c r="K127" i="4"/>
  <c r="K153" i="4"/>
  <c r="K349" i="4"/>
  <c r="K364" i="4"/>
  <c r="K367" i="4"/>
  <c r="J100" i="4"/>
  <c r="K378" i="4"/>
  <c r="J127" i="4"/>
  <c r="J153" i="4"/>
  <c r="J188" i="4"/>
  <c r="J228" i="4"/>
  <c r="J285" i="4"/>
  <c r="J203" i="4"/>
  <c r="J253" i="4"/>
  <c r="J307" i="4"/>
  <c r="J349" i="4"/>
  <c r="J364" i="4"/>
  <c r="J378" i="4"/>
  <c r="J389" i="4"/>
  <c r="G153" i="10"/>
  <c r="G171" i="10"/>
  <c r="G188" i="10"/>
  <c r="G203" i="10"/>
  <c r="G307" i="10"/>
  <c r="G349" i="10"/>
  <c r="G364" i="10"/>
  <c r="G367" i="10"/>
  <c r="G378" i="10"/>
  <c r="G389" i="10"/>
  <c r="G396" i="10"/>
  <c r="S135" i="5"/>
  <c r="S134" i="5"/>
  <c r="S133" i="5"/>
  <c r="S130" i="5"/>
  <c r="S131" i="5"/>
  <c r="S132" i="5"/>
  <c r="S137" i="5"/>
  <c r="S138" i="5"/>
  <c r="S139" i="5"/>
  <c r="S140" i="5"/>
  <c r="S141" i="5"/>
  <c r="S142" i="5"/>
  <c r="S143" i="5"/>
  <c r="S144" i="5"/>
  <c r="S145" i="5"/>
  <c r="S146" i="5"/>
  <c r="S147" i="5"/>
  <c r="S148" i="5"/>
  <c r="S149" i="5"/>
  <c r="S150" i="5"/>
  <c r="S393" i="5"/>
  <c r="S392" i="5"/>
  <c r="S394" i="5" s="1"/>
  <c r="S386" i="5"/>
  <c r="S385" i="5"/>
  <c r="S384" i="5"/>
  <c r="S383" i="5"/>
  <c r="S382" i="5"/>
  <c r="S380" i="5"/>
  <c r="S381" i="5"/>
  <c r="S374" i="5"/>
  <c r="S373" i="5"/>
  <c r="S372" i="5"/>
  <c r="S371" i="5"/>
  <c r="S370" i="5"/>
  <c r="S369" i="5"/>
  <c r="S376" i="5" s="1"/>
  <c r="S368" i="5"/>
  <c r="S367" i="5"/>
  <c r="S361" i="5"/>
  <c r="S360" i="5"/>
  <c r="S359" i="5"/>
  <c r="S358" i="5"/>
  <c r="S357" i="5"/>
  <c r="S356" i="5"/>
  <c r="S355" i="5"/>
  <c r="S354" i="5"/>
  <c r="S353" i="5"/>
  <c r="S352" i="5"/>
  <c r="S351" i="5"/>
  <c r="S346" i="5"/>
  <c r="S345" i="5"/>
  <c r="S344" i="5"/>
  <c r="S343" i="5"/>
  <c r="S342" i="5"/>
  <c r="S341" i="5"/>
  <c r="S340" i="5"/>
  <c r="S339" i="5"/>
  <c r="S338" i="5"/>
  <c r="S337" i="5"/>
  <c r="S336" i="5"/>
  <c r="S335" i="5"/>
  <c r="S334" i="5"/>
  <c r="S333" i="5"/>
  <c r="S332" i="5"/>
  <c r="S331" i="5"/>
  <c r="S330" i="5"/>
  <c r="S329" i="5"/>
  <c r="S328" i="5"/>
  <c r="S320" i="5"/>
  <c r="S319" i="5"/>
  <c r="S318" i="5"/>
  <c r="S317" i="5"/>
  <c r="S316" i="5"/>
  <c r="S315" i="5"/>
  <c r="S314" i="5"/>
  <c r="S313" i="5"/>
  <c r="S312" i="5"/>
  <c r="S311" i="5"/>
  <c r="S309" i="5"/>
  <c r="S310" i="5"/>
  <c r="S304" i="5"/>
  <c r="S303" i="5"/>
  <c r="S302" i="5"/>
  <c r="S301" i="5"/>
  <c r="S300" i="5"/>
  <c r="S299" i="5"/>
  <c r="S298" i="5"/>
  <c r="S297" i="5"/>
  <c r="S296" i="5"/>
  <c r="S295" i="5"/>
  <c r="S294" i="5"/>
  <c r="S293" i="5"/>
  <c r="S292" i="5"/>
  <c r="S291" i="5"/>
  <c r="S290" i="5"/>
  <c r="S289" i="5"/>
  <c r="S288" i="5"/>
  <c r="S286" i="5"/>
  <c r="S282" i="5"/>
  <c r="S281" i="5"/>
  <c r="S280" i="5"/>
  <c r="S279" i="5"/>
  <c r="S278" i="5"/>
  <c r="S277" i="5"/>
  <c r="S276" i="5"/>
  <c r="S275" i="5"/>
  <c r="S274" i="5"/>
  <c r="S273" i="5"/>
  <c r="S272" i="5"/>
  <c r="S271" i="5"/>
  <c r="S270" i="5"/>
  <c r="S269" i="5"/>
  <c r="S268" i="5"/>
  <c r="S267" i="5"/>
  <c r="S266" i="5"/>
  <c r="S265" i="5"/>
  <c r="S264" i="5"/>
  <c r="S263" i="5"/>
  <c r="S261" i="5"/>
  <c r="S260" i="5"/>
  <c r="S259" i="5"/>
  <c r="S258" i="5"/>
  <c r="S257" i="5"/>
  <c r="S256" i="5"/>
  <c r="S255" i="5"/>
  <c r="S254" i="5"/>
  <c r="S250" i="5"/>
  <c r="S249" i="5"/>
  <c r="S248" i="5"/>
  <c r="S247" i="5"/>
  <c r="S246" i="5"/>
  <c r="S245" i="5"/>
  <c r="S244" i="5"/>
  <c r="S243" i="5"/>
  <c r="S242" i="5"/>
  <c r="S241" i="5"/>
  <c r="S240" i="5"/>
  <c r="S239" i="5"/>
  <c r="S238" i="5"/>
  <c r="S237" i="5"/>
  <c r="S236" i="5"/>
  <c r="S235" i="5"/>
  <c r="S234" i="5"/>
  <c r="S233" i="5"/>
  <c r="S231" i="5"/>
  <c r="S232" i="5"/>
  <c r="S225" i="5"/>
  <c r="S224" i="5"/>
  <c r="S223" i="5"/>
  <c r="S222" i="5"/>
  <c r="S221" i="5"/>
  <c r="S220" i="5"/>
  <c r="S219" i="5"/>
  <c r="S218" i="5"/>
  <c r="S217" i="5"/>
  <c r="S216" i="5"/>
  <c r="S215" i="5"/>
  <c r="S214" i="5"/>
  <c r="S213" i="5"/>
  <c r="S212" i="5"/>
  <c r="S211" i="5"/>
  <c r="S210" i="5"/>
  <c r="S209" i="5"/>
  <c r="S208" i="5"/>
  <c r="S207" i="5"/>
  <c r="S206" i="5"/>
  <c r="S205" i="5"/>
  <c r="S200" i="5"/>
  <c r="S199" i="5"/>
  <c r="S198" i="5"/>
  <c r="S197" i="5"/>
  <c r="S196" i="5"/>
  <c r="S195" i="5"/>
  <c r="S194" i="5"/>
  <c r="S193" i="5"/>
  <c r="S192" i="5"/>
  <c r="S191" i="5"/>
  <c r="S190" i="5"/>
  <c r="S185" i="5"/>
  <c r="S184" i="5"/>
  <c r="S183" i="5"/>
  <c r="S182" i="5"/>
  <c r="S181" i="5"/>
  <c r="S180" i="5"/>
  <c r="S179" i="5"/>
  <c r="S178" i="5"/>
  <c r="S177" i="5"/>
  <c r="S176" i="5"/>
  <c r="S175" i="5"/>
  <c r="S174" i="5"/>
  <c r="S173" i="5"/>
  <c r="S172" i="5"/>
  <c r="S168" i="5"/>
  <c r="S167" i="5"/>
  <c r="S166" i="5"/>
  <c r="S165" i="5"/>
  <c r="S164" i="5"/>
  <c r="S163" i="5"/>
  <c r="S162" i="5"/>
  <c r="S161" i="5"/>
  <c r="S160" i="5"/>
  <c r="S159" i="5"/>
  <c r="S158" i="5"/>
  <c r="S157" i="5"/>
  <c r="S156" i="5"/>
  <c r="S124" i="5"/>
  <c r="S123" i="5"/>
  <c r="S122" i="5"/>
  <c r="S121" i="5"/>
  <c r="S120" i="5"/>
  <c r="S119" i="5"/>
  <c r="S118" i="5"/>
  <c r="S117" i="5"/>
  <c r="S116" i="5"/>
  <c r="S115" i="5"/>
  <c r="S114" i="5"/>
  <c r="S113" i="5"/>
  <c r="S112" i="5"/>
  <c r="S111" i="5"/>
  <c r="S109" i="5"/>
  <c r="S108" i="5"/>
  <c r="S107" i="5"/>
  <c r="S106" i="5"/>
  <c r="S105" i="5"/>
  <c r="S104" i="5"/>
  <c r="S103" i="5"/>
  <c r="S97" i="5"/>
  <c r="S96" i="5"/>
  <c r="S95" i="5"/>
  <c r="S94" i="5"/>
  <c r="S93" i="5"/>
  <c r="S92" i="5"/>
  <c r="S91" i="5"/>
  <c r="S90" i="5"/>
  <c r="S89" i="5"/>
  <c r="S88" i="5"/>
  <c r="S87" i="5"/>
  <c r="S86" i="5"/>
  <c r="S85" i="5"/>
  <c r="S84" i="5"/>
  <c r="S82" i="5"/>
  <c r="S81" i="5"/>
  <c r="S80" i="5"/>
  <c r="S79" i="5"/>
  <c r="S77" i="5"/>
  <c r="S78" i="5"/>
  <c r="S67" i="5"/>
  <c r="S66" i="5"/>
  <c r="S62" i="5"/>
  <c r="S61" i="5"/>
  <c r="S60" i="5"/>
  <c r="S59" i="5"/>
  <c r="S57" i="5"/>
  <c r="S56" i="5"/>
  <c r="S55" i="5"/>
  <c r="S54" i="5"/>
  <c r="S53" i="5"/>
  <c r="S52" i="5"/>
  <c r="S51" i="5"/>
  <c r="S49" i="5"/>
  <c r="S48" i="5"/>
  <c r="S47" i="5"/>
  <c r="S45" i="5"/>
  <c r="S43" i="5"/>
  <c r="S41" i="5"/>
  <c r="S30" i="5"/>
  <c r="S29" i="5"/>
  <c r="S28" i="5"/>
  <c r="S27" i="5"/>
  <c r="S23" i="5"/>
  <c r="S24" i="5"/>
  <c r="S26" i="5"/>
  <c r="S18" i="5"/>
  <c r="S17" i="5"/>
  <c r="S16" i="5"/>
  <c r="S15" i="5"/>
  <c r="S14" i="5"/>
  <c r="S10" i="5"/>
  <c r="S11" i="5"/>
  <c r="S12" i="5"/>
  <c r="R63" i="5"/>
  <c r="R31" i="5"/>
  <c r="R98" i="5"/>
  <c r="R125" i="5"/>
  <c r="R151" i="5"/>
  <c r="R169" i="5"/>
  <c r="R186" i="5"/>
  <c r="R201" i="5"/>
  <c r="R226" i="5"/>
  <c r="R251" i="5"/>
  <c r="R283" i="5"/>
  <c r="R321" i="5"/>
  <c r="R387" i="5"/>
  <c r="R394" i="5"/>
  <c r="R305" i="5"/>
  <c r="R347" i="5"/>
  <c r="R362" i="5"/>
  <c r="R376" i="5"/>
  <c r="Q63" i="5"/>
  <c r="Q31" i="5"/>
  <c r="Q98" i="5"/>
  <c r="Q125" i="5"/>
  <c r="Q151" i="5"/>
  <c r="Q169" i="5"/>
  <c r="Q186" i="5"/>
  <c r="Q201" i="5"/>
  <c r="Q226" i="5"/>
  <c r="Q251" i="5"/>
  <c r="Q283" i="5"/>
  <c r="Q305" i="5"/>
  <c r="Q321" i="5"/>
  <c r="Q347" i="5"/>
  <c r="Q365" i="5" s="1"/>
  <c r="Q362" i="5"/>
  <c r="Q376" i="5"/>
  <c r="Q387" i="5"/>
  <c r="Q394" i="5"/>
  <c r="P63" i="5"/>
  <c r="P31" i="5"/>
  <c r="P98" i="5"/>
  <c r="P125" i="5"/>
  <c r="P151" i="5"/>
  <c r="P169" i="5"/>
  <c r="P186" i="5"/>
  <c r="P201" i="5"/>
  <c r="P226" i="5"/>
  <c r="P251" i="5"/>
  <c r="P283" i="5"/>
  <c r="P305" i="5"/>
  <c r="P321" i="5"/>
  <c r="P347" i="5"/>
  <c r="P387" i="5"/>
  <c r="P394" i="5"/>
  <c r="P362" i="5"/>
  <c r="P376" i="5"/>
  <c r="O63" i="5"/>
  <c r="O31" i="5"/>
  <c r="O98" i="5"/>
  <c r="O125" i="5"/>
  <c r="O151" i="5"/>
  <c r="O169" i="5"/>
  <c r="O186" i="5"/>
  <c r="O201" i="5"/>
  <c r="O226" i="5"/>
  <c r="O251" i="5"/>
  <c r="O283" i="5"/>
  <c r="O305" i="5"/>
  <c r="O321" i="5"/>
  <c r="O347" i="5"/>
  <c r="O365" i="5" s="1"/>
  <c r="O362" i="5"/>
  <c r="O376" i="5"/>
  <c r="O387" i="5"/>
  <c r="O394" i="5"/>
  <c r="N63" i="5"/>
  <c r="N31" i="5"/>
  <c r="N98" i="5"/>
  <c r="N125" i="5"/>
  <c r="N151" i="5"/>
  <c r="N169" i="5"/>
  <c r="N186" i="5"/>
  <c r="N201" i="5"/>
  <c r="N226" i="5"/>
  <c r="N251" i="5"/>
  <c r="N283" i="5"/>
  <c r="N305" i="5"/>
  <c r="N321" i="5"/>
  <c r="N347" i="5"/>
  <c r="N387" i="5"/>
  <c r="N362" i="5"/>
  <c r="N365" i="5" s="1"/>
  <c r="N376" i="5"/>
  <c r="N394" i="5"/>
  <c r="M63" i="5"/>
  <c r="M31" i="5"/>
  <c r="M98" i="5"/>
  <c r="M125" i="5"/>
  <c r="M151" i="5"/>
  <c r="M169" i="5"/>
  <c r="M324" i="5" s="1"/>
  <c r="M186" i="5"/>
  <c r="M201" i="5"/>
  <c r="M226" i="5"/>
  <c r="M251" i="5"/>
  <c r="M283" i="5"/>
  <c r="M305" i="5"/>
  <c r="M321" i="5"/>
  <c r="M347" i="5"/>
  <c r="M365" i="5" s="1"/>
  <c r="M387" i="5"/>
  <c r="M362" i="5"/>
  <c r="M376" i="5"/>
  <c r="M394" i="5"/>
  <c r="L63" i="5"/>
  <c r="L31" i="5"/>
  <c r="L98" i="5"/>
  <c r="L125" i="5"/>
  <c r="L151" i="5"/>
  <c r="L169" i="5"/>
  <c r="L186" i="5"/>
  <c r="L201" i="5"/>
  <c r="L226" i="5"/>
  <c r="L251" i="5"/>
  <c r="L283" i="5"/>
  <c r="L305" i="5"/>
  <c r="L321" i="5"/>
  <c r="L347" i="5"/>
  <c r="L365" i="5" s="1"/>
  <c r="L362" i="5"/>
  <c r="L376" i="5"/>
  <c r="L387" i="5"/>
  <c r="L394" i="5"/>
  <c r="K186" i="5"/>
  <c r="H31" i="5"/>
  <c r="H63" i="5"/>
  <c r="H98" i="5"/>
  <c r="H125" i="5"/>
  <c r="H151" i="5"/>
  <c r="H169" i="5"/>
  <c r="H186" i="5"/>
  <c r="H201" i="5"/>
  <c r="H226" i="5"/>
  <c r="H251" i="5"/>
  <c r="H283" i="5"/>
  <c r="H305" i="5"/>
  <c r="H321" i="5"/>
  <c r="H347" i="5"/>
  <c r="H362" i="5"/>
  <c r="H376" i="5"/>
  <c r="H387" i="5"/>
  <c r="H394" i="5"/>
  <c r="I31" i="5"/>
  <c r="I63" i="5"/>
  <c r="I98" i="5"/>
  <c r="I152" i="5" s="1"/>
  <c r="I125" i="5"/>
  <c r="I151" i="5"/>
  <c r="I169" i="5"/>
  <c r="I186" i="5"/>
  <c r="I201" i="5"/>
  <c r="I226" i="5"/>
  <c r="I251" i="5"/>
  <c r="I283" i="5"/>
  <c r="I305" i="5"/>
  <c r="I321" i="5"/>
  <c r="I347" i="5"/>
  <c r="I362" i="5"/>
  <c r="I365" i="5" s="1"/>
  <c r="I376" i="5"/>
  <c r="I387" i="5"/>
  <c r="I394" i="5"/>
  <c r="J31" i="5"/>
  <c r="J63" i="5"/>
  <c r="J98" i="5"/>
  <c r="J125" i="5"/>
  <c r="J151" i="5"/>
  <c r="J169" i="5"/>
  <c r="J186" i="5"/>
  <c r="J201" i="5"/>
  <c r="J226" i="5"/>
  <c r="J251" i="5"/>
  <c r="J283" i="5"/>
  <c r="J305" i="5"/>
  <c r="J321" i="5"/>
  <c r="J347" i="5"/>
  <c r="J362" i="5"/>
  <c r="J365" i="5" s="1"/>
  <c r="J376" i="5"/>
  <c r="J387" i="5"/>
  <c r="J394" i="5"/>
  <c r="K169" i="5"/>
  <c r="K201" i="5"/>
  <c r="K226" i="5"/>
  <c r="K251" i="5"/>
  <c r="K283" i="5"/>
  <c r="K305" i="5"/>
  <c r="K321" i="5"/>
  <c r="K98" i="5"/>
  <c r="K125" i="5"/>
  <c r="K151" i="5"/>
  <c r="K347" i="5"/>
  <c r="K365" i="5" s="1"/>
  <c r="K362" i="5"/>
  <c r="K376" i="5"/>
  <c r="K387" i="5"/>
  <c r="K31" i="5"/>
  <c r="K63" i="5"/>
  <c r="K394" i="5"/>
  <c r="G63" i="5"/>
  <c r="G31" i="5"/>
  <c r="G98" i="5"/>
  <c r="G151" i="5"/>
  <c r="G169" i="5"/>
  <c r="G186" i="5"/>
  <c r="G201" i="5"/>
  <c r="G226" i="5"/>
  <c r="G251" i="5"/>
  <c r="G283" i="5"/>
  <c r="G321" i="5"/>
  <c r="G347" i="5"/>
  <c r="G387" i="5"/>
  <c r="G125" i="5"/>
  <c r="G305" i="5"/>
  <c r="G362" i="5"/>
  <c r="G376" i="5"/>
  <c r="G394" i="5"/>
  <c r="H100" i="4"/>
  <c r="H127" i="4"/>
  <c r="H153" i="4"/>
  <c r="H154" i="4"/>
  <c r="H389" i="4"/>
  <c r="H228" i="4"/>
  <c r="H171" i="4"/>
  <c r="H188" i="4"/>
  <c r="H285" i="4"/>
  <c r="H203" i="4"/>
  <c r="H253" i="4"/>
  <c r="H307" i="4"/>
  <c r="H349" i="4"/>
  <c r="H364" i="4"/>
  <c r="H367" i="4"/>
  <c r="H378" i="4"/>
  <c r="H396" i="4"/>
  <c r="I21" i="4"/>
  <c r="I33" i="4"/>
  <c r="I100" i="4"/>
  <c r="I127" i="4"/>
  <c r="I153" i="4"/>
  <c r="I188" i="4"/>
  <c r="I203" i="4"/>
  <c r="I228" i="4"/>
  <c r="I253" i="4"/>
  <c r="I285" i="4"/>
  <c r="I307" i="4"/>
  <c r="I349" i="4"/>
  <c r="I364" i="4"/>
  <c r="I367" i="4"/>
  <c r="I378" i="4"/>
  <c r="I389" i="4"/>
  <c r="G396" i="4"/>
  <c r="F31" i="6"/>
  <c r="F43" i="6"/>
  <c r="F49" i="6"/>
  <c r="F11" i="6"/>
  <c r="F18" i="6"/>
  <c r="F23" i="6"/>
  <c r="F51" i="6"/>
  <c r="G323" i="10"/>
  <c r="G100" i="10"/>
  <c r="J367" i="4"/>
  <c r="I326" i="4"/>
  <c r="J396" i="4"/>
  <c r="I65" i="4"/>
  <c r="I70" i="4"/>
  <c r="I396" i="4"/>
  <c r="K326" i="4"/>
  <c r="K154" i="4"/>
  <c r="J154" i="4"/>
  <c r="J326" i="4"/>
  <c r="H326" i="4"/>
  <c r="H391" i="4"/>
  <c r="H400" i="4"/>
  <c r="I154" i="4"/>
  <c r="I391" i="4"/>
  <c r="G326" i="10"/>
  <c r="G285" i="4"/>
  <c r="G253" i="4"/>
  <c r="G228" i="4"/>
  <c r="G100" i="4"/>
  <c r="G154" i="4"/>
  <c r="G154" i="10"/>
  <c r="J391" i="4"/>
  <c r="J400" i="4"/>
  <c r="I400" i="4"/>
  <c r="K391" i="4"/>
  <c r="K400" i="4"/>
  <c r="G391" i="10"/>
  <c r="G400" i="10"/>
  <c r="G326" i="4"/>
  <c r="G391" i="4"/>
  <c r="G400" i="4"/>
  <c r="G401" i="4"/>
  <c r="H401" i="4"/>
  <c r="I401" i="4"/>
  <c r="J401" i="4"/>
  <c r="K401" i="4"/>
  <c r="G402" i="10"/>
  <c r="G403" i="10"/>
  <c r="H365" i="5" l="1"/>
  <c r="H68" i="5"/>
  <c r="G365" i="5"/>
  <c r="P365" i="5"/>
  <c r="H324" i="5"/>
  <c r="S305" i="5"/>
  <c r="O324" i="5"/>
  <c r="Q152" i="5"/>
  <c r="R152" i="5"/>
  <c r="M152" i="5"/>
  <c r="M389" i="5" s="1"/>
  <c r="O152" i="5"/>
  <c r="O389" i="5" s="1"/>
  <c r="K152" i="5"/>
  <c r="P152" i="5"/>
  <c r="R365" i="5"/>
  <c r="K324" i="5"/>
  <c r="J324" i="5"/>
  <c r="R324" i="5"/>
  <c r="L324" i="5"/>
  <c r="N324" i="5"/>
  <c r="Q324" i="5"/>
  <c r="Q389" i="5" s="1"/>
  <c r="S321" i="5"/>
  <c r="P324" i="5"/>
  <c r="S226" i="5"/>
  <c r="S201" i="5"/>
  <c r="I324" i="5"/>
  <c r="I389" i="5" s="1"/>
  <c r="S169" i="5"/>
  <c r="J152" i="5"/>
  <c r="H152" i="5"/>
  <c r="L152" i="5"/>
  <c r="N152" i="5"/>
  <c r="S125" i="5"/>
  <c r="J19" i="5"/>
  <c r="J68" i="5" s="1"/>
  <c r="I19" i="5"/>
  <c r="I68" i="5" s="1"/>
  <c r="K19" i="5"/>
  <c r="K68" i="5" s="1"/>
  <c r="S387" i="5"/>
  <c r="S362" i="5"/>
  <c r="S347" i="5"/>
  <c r="S251" i="5"/>
  <c r="G324" i="5"/>
  <c r="S186" i="5"/>
  <c r="S63" i="5"/>
  <c r="S31" i="5"/>
  <c r="S283" i="5"/>
  <c r="S151" i="5"/>
  <c r="G152" i="5"/>
  <c r="S98" i="5"/>
  <c r="G68" i="5"/>
  <c r="R389" i="5" l="1"/>
  <c r="H389" i="5"/>
  <c r="H398" i="5" s="1"/>
  <c r="N389" i="5"/>
  <c r="J389" i="5"/>
  <c r="J398" i="5" s="1"/>
  <c r="K389" i="5"/>
  <c r="K398" i="5" s="1"/>
  <c r="P389" i="5"/>
  <c r="L389" i="5"/>
  <c r="I398" i="5"/>
  <c r="L19" i="5"/>
  <c r="L68" i="5" s="1"/>
  <c r="S365" i="5"/>
  <c r="S324" i="5"/>
  <c r="G389" i="5"/>
  <c r="G398" i="5" s="1"/>
  <c r="S152" i="5"/>
  <c r="L398" i="5" l="1"/>
  <c r="M19" i="5"/>
  <c r="M68" i="5" s="1"/>
  <c r="M398" i="5" s="1"/>
  <c r="S389" i="5"/>
  <c r="N19" i="5" l="1"/>
  <c r="N68" i="5" s="1"/>
  <c r="N398" i="5" s="1"/>
  <c r="O19" i="5" l="1"/>
  <c r="O68" i="5" s="1"/>
  <c r="O398" i="5" s="1"/>
  <c r="P19" i="5" l="1"/>
  <c r="P68" i="5" s="1"/>
  <c r="P398" i="5" s="1"/>
  <c r="Q19" i="5" l="1"/>
  <c r="Q68" i="5" s="1"/>
  <c r="Q398" i="5" s="1"/>
  <c r="R19" i="5" l="1"/>
  <c r="R68" i="5" s="1"/>
  <c r="R398" i="5" s="1"/>
  <c r="S9" i="5"/>
  <c r="S19" i="5" s="1"/>
  <c r="S68" i="5" s="1"/>
  <c r="S398" i="5" s="1"/>
</calcChain>
</file>

<file path=xl/sharedStrings.xml><?xml version="1.0" encoding="utf-8"?>
<sst xmlns="http://schemas.openxmlformats.org/spreadsheetml/2006/main" count="3052" uniqueCount="565">
  <si>
    <t>Instructions:</t>
  </si>
  <si>
    <t xml:space="preserve">In one excel spreadsheet, please include each of the following financial statements in a different tab.  You may save your work directly into the tabs included in this Excel file or you may use an Excel file of your own design.  In all financial statements, budget conservatively and include your assumptions. </t>
  </si>
  <si>
    <t xml:space="preserve">In developing your per-pupil MFP revenue, use your Enrollment Projection (Appendix 9).
</t>
  </si>
  <si>
    <r>
      <t xml:space="preserve">Per-pupil MFP funding is allocated to schools in Orleans Parish based on a differentiated funding model that allocates funding based on student characteristics. 
Revenue is calculated by multiplying the number of students in each category by the dollar amounts below. </t>
    </r>
    <r>
      <rPr>
        <b/>
        <sz val="12"/>
        <rFont val="Calibri"/>
        <family val="2"/>
      </rPr>
      <t xml:space="preserve"> In generating your projections, please use dollar amounts in the table to the right.</t>
    </r>
    <r>
      <rPr>
        <sz val="12"/>
        <rFont val="Calibri"/>
        <family val="2"/>
      </rPr>
      <t xml:space="preserve">
Dollar amounts are rounded and change each year based on the model, but can be used for revenue projection.  You may use actual numbers, particularly if reflecting the budget of an existing school.  If you choose to do so, please include this assumption in your budget narrative.</t>
    </r>
  </si>
  <si>
    <t>K-8 Base (state + local)</t>
  </si>
  <si>
    <t>HS (9-12) Base</t>
  </si>
  <si>
    <t>SPED Tier 1</t>
  </si>
  <si>
    <t>SPED Tier 2</t>
  </si>
  <si>
    <t>SPED Tier 3</t>
  </si>
  <si>
    <t>SPED Tier 4</t>
  </si>
  <si>
    <t>SPED Tier 5</t>
  </si>
  <si>
    <t>G/T</t>
  </si>
  <si>
    <t>ELL</t>
  </si>
  <si>
    <t>Overage</t>
  </si>
  <si>
    <t xml:space="preserve">In determining your revenue projections for the term of the charter, you may wish to take into account the historical public funding information provided here. Please include in the budget narrative your assumptions regarding the growth in state/local per pupil (MFP), and levels of federal Title funding </t>
  </si>
  <si>
    <r>
      <rPr>
        <b/>
        <sz val="10"/>
        <rFont val="Arial"/>
        <family val="2"/>
      </rPr>
      <t>MFP Allocations for previous 3 years:</t>
    </r>
    <r>
      <rPr>
        <sz val="10"/>
        <rFont val="Arial"/>
        <family val="2"/>
      </rPr>
      <t xml:space="preserve">
FY 2017-18 $9,122.16 per pupil
FY 2016-17 $9,159.88 per pupil
FY 2015-16 $9,488.00 per pupil
</t>
    </r>
  </si>
  <si>
    <r>
      <rPr>
        <b/>
        <sz val="10"/>
        <rFont val="Arial"/>
        <family val="2"/>
      </rPr>
      <t>Title I Allocations for previous 3 years:</t>
    </r>
    <r>
      <rPr>
        <sz val="10"/>
        <rFont val="Arial"/>
        <family val="2"/>
      </rPr>
      <t xml:space="preserve">
FY 2017-18 $600.79 per pupil
FY 2016-17 $829.00 per pupil
FY 2015-16 $712.00 per pupil
</t>
    </r>
  </si>
  <si>
    <t>LEA Status Implications for Budget and Budget Narrative</t>
  </si>
  <si>
    <t xml:space="preserve">Schools seeking approval to operate within OPSB’s LEA must include a 3.8% chargeback on total per pupil funding to OPSB for federal funding, complaince and exceptional children services supports. Applicants opting out of OPSB's LEA must present staffing appropritate for assuming all LEA responsibilities. </t>
  </si>
  <si>
    <t>OPSB's LEA Chargeback = 
3.8% of total MFP revenue</t>
  </si>
  <si>
    <t>There are two resources that will help you complete your financial submission:</t>
  </si>
  <si>
    <r>
      <rPr>
        <sz val="11"/>
        <rFont val="Wingdings"/>
        <charset val="2"/>
      </rPr>
      <t>§</t>
    </r>
    <r>
      <rPr>
        <sz val="11"/>
        <rFont val="Calibri"/>
        <family val="2"/>
      </rPr>
      <t xml:space="preserve"> The Louisiana Accounting and Universal Government Handbook (LAUGH) guide can be found:</t>
    </r>
  </si>
  <si>
    <t>here</t>
  </si>
  <si>
    <r>
      <rPr>
        <sz val="11"/>
        <rFont val="Wingdings"/>
        <charset val="2"/>
      </rPr>
      <t>§</t>
    </r>
    <r>
      <rPr>
        <sz val="11"/>
        <rFont val="Calibri"/>
        <family val="2"/>
      </rPr>
      <t xml:space="preserve"> A revenue projection tool that you may use to model various local, state, and federal revenues can be found:</t>
    </r>
  </si>
  <si>
    <r>
      <t>(1)</t>
    </r>
    <r>
      <rPr>
        <sz val="7"/>
        <rFont val="Times New Roman"/>
        <family val="1"/>
      </rPr>
      <t xml:space="preserve">    </t>
    </r>
    <r>
      <rPr>
        <sz val="11"/>
        <rFont val="Calibri"/>
        <family val="2"/>
      </rPr>
      <t xml:space="preserve">Start-Up Statement of Activities (up to the July 1 prior to school opening).  The start-up statement of activities should list all anticipated revenue and expenditures in the period leading up to the fiscal year in which your proposed school would open.  </t>
    </r>
  </si>
  <si>
    <r>
      <t>(2)</t>
    </r>
    <r>
      <rPr>
        <sz val="7"/>
        <rFont val="Times New Roman"/>
        <family val="1"/>
      </rPr>
      <t>   </t>
    </r>
    <r>
      <rPr>
        <sz val="11"/>
        <rFont val="Calibri"/>
        <family val="2"/>
      </rPr>
      <t xml:space="preserve">Year One Statement of Activities (July 1 to June 30 of first year of operation).  The Year One statement of activities should list all anticipated revenue and expenditures in the fiscal year in which your proposed school would open.  </t>
    </r>
  </si>
  <si>
    <r>
      <t>(3)</t>
    </r>
    <r>
      <rPr>
        <sz val="7"/>
        <rFont val="Times New Roman"/>
        <family val="1"/>
      </rPr>
      <t xml:space="preserve">    </t>
    </r>
    <r>
      <rPr>
        <sz val="11"/>
        <rFont val="Calibri"/>
        <family val="2"/>
      </rPr>
      <t>Operating Statement of Activities. The operating statement of activities should describe all anticipated revenue and expenditures from the July 1 immediately prior to school opening to either (a) the June 30 immediately following the end of year 5 of operations, or (b) the June 30 immediately following the end of the first school year in which your school serves all planned grades, whichever is longer.  If you use this Excel file to complete your financial submission, please complete both the Operating Statement of Activities tab and the detailed Year 1 Operating Statement of Activities tab.</t>
    </r>
  </si>
  <si>
    <r>
      <t>(4)</t>
    </r>
    <r>
      <rPr>
        <sz val="7"/>
        <rFont val="Times New Roman"/>
        <family val="1"/>
      </rPr>
      <t xml:space="preserve">    </t>
    </r>
    <r>
      <rPr>
        <sz val="11"/>
        <rFont val="Calibri"/>
        <family val="2"/>
      </rPr>
      <t>First Year Monthly Cash Flow Projection (July 1 prior to opening to June 30 after year 1).  This projection should forecast your school's incoming and outgoing cash flows during the first year of operation.</t>
    </r>
  </si>
  <si>
    <t>If the non-profit applying for the charter application was established for a purpose other than submitting a charter application, please submit the non-profit’s most recent audited financial statements as a separate PDF file.</t>
  </si>
  <si>
    <t xml:space="preserve">School Name: </t>
  </si>
  <si>
    <t>Start-Up Statement of Activities</t>
  </si>
  <si>
    <t>Description</t>
  </si>
  <si>
    <t>Amount</t>
  </si>
  <si>
    <t>Assumption</t>
  </si>
  <si>
    <t>REVENUES</t>
  </si>
  <si>
    <t>Start-Up Grants</t>
  </si>
  <si>
    <t>Choice Foundation Funding</t>
  </si>
  <si>
    <t xml:space="preserve">Other Revenue   </t>
  </si>
  <si>
    <t>TOTAL REVENUES</t>
  </si>
  <si>
    <t>EXPENDITURES</t>
  </si>
  <si>
    <t>Administrative Expenses</t>
  </si>
  <si>
    <t>Principal</t>
  </si>
  <si>
    <t>1 Head of School &amp; 1 Assistant Head of School  (2 FTE's @ 12 months)</t>
  </si>
  <si>
    <t>Administrative Staff</t>
  </si>
  <si>
    <t>Payroll Taxes</t>
  </si>
  <si>
    <t>7.65% of Gross Pay</t>
  </si>
  <si>
    <t>Benefits</t>
  </si>
  <si>
    <t>Health Insurance @$3,693 per FTE; 401K @ 5% of Gross Pay</t>
  </si>
  <si>
    <t>Staff Development</t>
  </si>
  <si>
    <t>Recruiting/Marketing</t>
  </si>
  <si>
    <t>Radio ads, billboards, recruiting events and fairs</t>
  </si>
  <si>
    <t>Advertising</t>
  </si>
  <si>
    <t>Radio ads, printing, signage</t>
  </si>
  <si>
    <t xml:space="preserve">Total Administrative </t>
  </si>
  <si>
    <t>Supplies and Equipment</t>
  </si>
  <si>
    <t>Instructional Materials</t>
  </si>
  <si>
    <t>Office Supplies</t>
  </si>
  <si>
    <t>Postage/Printing/Copying</t>
  </si>
  <si>
    <t>Phone System</t>
  </si>
  <si>
    <t>Total Supplies &amp; Equipment</t>
  </si>
  <si>
    <t>Facility</t>
  </si>
  <si>
    <t>Capital Expenditures</t>
  </si>
  <si>
    <t>Building Fit-Out</t>
  </si>
  <si>
    <t>Renovations &amp; Repairs</t>
  </si>
  <si>
    <t>Rent/Lease</t>
  </si>
  <si>
    <t>Fixtures &amp; Furnishings</t>
  </si>
  <si>
    <t>Utilities</t>
  </si>
  <si>
    <t>Insurance</t>
  </si>
  <si>
    <t>Security</t>
  </si>
  <si>
    <t>Total Facility</t>
  </si>
  <si>
    <t>Contractual</t>
  </si>
  <si>
    <t>Consultants</t>
  </si>
  <si>
    <t>Legal and Accounting</t>
  </si>
  <si>
    <t>Total Contractual</t>
  </si>
  <si>
    <t>TOTAL EXPENDITURES</t>
  </si>
  <si>
    <t>Year 1 Operating Statement of Activities</t>
  </si>
  <si>
    <r>
      <t>A note about assumptions:</t>
    </r>
    <r>
      <rPr>
        <sz val="11"/>
        <rFont val="Arial"/>
        <family val="2"/>
      </rPr>
      <t xml:space="preserve"> For all line items related to staffing, assumptions should at a minimum include the number of staff members, whether they will be employees or contractors, and, if contractors, the nature of their work.</t>
    </r>
  </si>
  <si>
    <t>Object Code</t>
  </si>
  <si>
    <t>Function Code</t>
  </si>
  <si>
    <t>REVENUES:</t>
  </si>
  <si>
    <t>REVENUES FROM LOCAL SOURCES</t>
  </si>
  <si>
    <t>Local Per Pupil Aid</t>
  </si>
  <si>
    <t>1XXX</t>
  </si>
  <si>
    <t>See MFP Assumptions Tab</t>
  </si>
  <si>
    <t>Earnings on Investments</t>
  </si>
  <si>
    <t>15XX</t>
  </si>
  <si>
    <t>Food Service</t>
  </si>
  <si>
    <t>16XX</t>
  </si>
  <si>
    <t>Community Service Activities</t>
  </si>
  <si>
    <t>Other Revenue From Local Sources</t>
  </si>
  <si>
    <t>Contributions and Donations</t>
  </si>
  <si>
    <t>1920</t>
  </si>
  <si>
    <t>Donations/Contributions from Choice Foundation</t>
  </si>
  <si>
    <t>Books and Supplies Sold</t>
  </si>
  <si>
    <t>1940</t>
  </si>
  <si>
    <t>Other Miscellaneous Revenues</t>
  </si>
  <si>
    <t>199X</t>
  </si>
  <si>
    <t>See Revenue &amp; Expenses Assumptions Tab (Misc. Rev., Medicaid Rev., Student Activity Rev.)</t>
  </si>
  <si>
    <t>(additional function codes may need to be added)</t>
  </si>
  <si>
    <t>TOTAL REVENUES FROM LOCAL SOURCES</t>
  </si>
  <si>
    <t>REVENUE FROM STATE SOURCES</t>
  </si>
  <si>
    <t>Unrestricted Grants-In-Aid</t>
  </si>
  <si>
    <t>State Per Pupil Aid</t>
  </si>
  <si>
    <t>311X</t>
  </si>
  <si>
    <t>Other Unrestricted Revenues</t>
  </si>
  <si>
    <t>3190</t>
  </si>
  <si>
    <t>Restricted Grants-In-Aid</t>
  </si>
  <si>
    <t>Education Support Fund (8g)</t>
  </si>
  <si>
    <t>3220</t>
  </si>
  <si>
    <t>PIP</t>
  </si>
  <si>
    <t>3230</t>
  </si>
  <si>
    <t>Other Restricted Revenues</t>
  </si>
  <si>
    <t>3290</t>
  </si>
  <si>
    <t>TOTAL REVENUE FROM STATE SOURCES</t>
  </si>
  <si>
    <r>
      <t xml:space="preserve">Louisiana laws contain requirements for school district accounting.  By law, the </t>
    </r>
    <r>
      <rPr>
        <b/>
        <sz val="11"/>
        <rFont val="Arial"/>
        <family val="2"/>
      </rPr>
      <t>L</t>
    </r>
    <r>
      <rPr>
        <sz val="11"/>
        <rFont val="Arial"/>
        <family val="2"/>
      </rPr>
      <t>ouisiana</t>
    </r>
    <r>
      <rPr>
        <b/>
        <sz val="11"/>
        <rFont val="Arial"/>
        <family val="2"/>
      </rPr>
      <t xml:space="preserve"> A</t>
    </r>
    <r>
      <rPr>
        <sz val="11"/>
        <rFont val="Arial"/>
        <family val="2"/>
      </rPr>
      <t xml:space="preserve">ccounting and </t>
    </r>
    <r>
      <rPr>
        <b/>
        <sz val="11"/>
        <rFont val="Arial"/>
        <family val="2"/>
      </rPr>
      <t>U</t>
    </r>
    <r>
      <rPr>
        <sz val="11"/>
        <rFont val="Arial"/>
        <family val="2"/>
      </rPr>
      <t xml:space="preserve">niform </t>
    </r>
    <r>
      <rPr>
        <b/>
        <sz val="11"/>
        <rFont val="Arial"/>
        <family val="2"/>
      </rPr>
      <t>G</t>
    </r>
    <r>
      <rPr>
        <sz val="11"/>
        <rFont val="Arial"/>
        <family val="2"/>
      </rPr>
      <t xml:space="preserve">overnmental </t>
    </r>
    <r>
      <rPr>
        <b/>
        <sz val="11"/>
        <rFont val="Arial"/>
        <family val="2"/>
      </rPr>
      <t>H</t>
    </r>
    <r>
      <rPr>
        <sz val="11"/>
        <rFont val="Arial"/>
        <family val="2"/>
      </rPr>
      <t>andbook (LAUGH) (Bulletin 1929) is the required accounting manual for local educational agencies.  This document can be accessed on the Department of Education's website at www.louisianaschools.net.</t>
    </r>
  </si>
  <si>
    <t>REVENUE FROM FEDERAL SOURCES</t>
  </si>
  <si>
    <t>Unrestricted Grants-In-Aid Direct From the Federal Gov't</t>
  </si>
  <si>
    <t>Impact Aid Fund</t>
  </si>
  <si>
    <t>4110</t>
  </si>
  <si>
    <t>Restricted Grants-In-Aid Direct From the Federal Gov't</t>
  </si>
  <si>
    <t>Other Restricted Grants - Direct</t>
  </si>
  <si>
    <t>4390</t>
  </si>
  <si>
    <t>Restricted Grants-In-Aid From Federal Gov't Thru State</t>
  </si>
  <si>
    <t>School Food Service</t>
  </si>
  <si>
    <t>4515</t>
  </si>
  <si>
    <t>See Revenue &amp; Expenses Assumptions Tab</t>
  </si>
  <si>
    <t>Special Education</t>
  </si>
  <si>
    <t xml:space="preserve">    IDEA - Part B</t>
  </si>
  <si>
    <t>4531</t>
  </si>
  <si>
    <t xml:space="preserve">    IDEA - Preschool</t>
  </si>
  <si>
    <t>4532</t>
  </si>
  <si>
    <t xml:space="preserve">    Other Special Education Programs</t>
  </si>
  <si>
    <t>4535</t>
  </si>
  <si>
    <t>No Child Left Behind (NCLB)</t>
  </si>
  <si>
    <t xml:space="preserve">    Title I</t>
  </si>
  <si>
    <t>4541</t>
  </si>
  <si>
    <t xml:space="preserve">    Title I, Part C - Migrant</t>
  </si>
  <si>
    <t>4542</t>
  </si>
  <si>
    <t xml:space="preserve">    Title V - Innovative Education Programs</t>
  </si>
  <si>
    <t>4543</t>
  </si>
  <si>
    <t xml:space="preserve">    Title IV - Safe and Drug Free Schools / Comm.</t>
  </si>
  <si>
    <t>4544</t>
  </si>
  <si>
    <t xml:space="preserve">    Title II - Teacher &amp; Principal Training/Recuiting</t>
  </si>
  <si>
    <t>4545</t>
  </si>
  <si>
    <t xml:space="preserve">    Other IASA Programs</t>
  </si>
  <si>
    <t>4546</t>
  </si>
  <si>
    <t>Other Restricted Grants through State</t>
  </si>
  <si>
    <t>4590</t>
  </si>
  <si>
    <t>Revenue For/On Behalf of the LEA</t>
  </si>
  <si>
    <t>Value of USDA Commodities</t>
  </si>
  <si>
    <t>4920</t>
  </si>
  <si>
    <t xml:space="preserve"> TOTAL REVENUE FROM FEDERAL SOURCES</t>
  </si>
  <si>
    <r>
      <t xml:space="preserve">Other Sources of Funds </t>
    </r>
    <r>
      <rPr>
        <i/>
        <sz val="9"/>
        <rFont val="Arial"/>
        <family val="2"/>
      </rPr>
      <t>(Provide Detail)</t>
    </r>
  </si>
  <si>
    <t>Food Sales to Employees &amp; Visitors</t>
  </si>
  <si>
    <t>5XXX</t>
  </si>
  <si>
    <t>TOTAL REVENUES AND OTHER SOURCES OF FUNDS</t>
  </si>
  <si>
    <t>EXPENDITURES:</t>
  </si>
  <si>
    <t xml:space="preserve"> </t>
  </si>
  <si>
    <t>I.  INSTRUCTION</t>
  </si>
  <si>
    <t>A.  Regular Programs - Elementary/Secondary</t>
  </si>
  <si>
    <t>Salaries</t>
  </si>
  <si>
    <t>Teachers</t>
  </si>
  <si>
    <t>See staffing assumptions tab.</t>
  </si>
  <si>
    <t>Aides</t>
  </si>
  <si>
    <t>115</t>
  </si>
  <si>
    <t>1100</t>
  </si>
  <si>
    <t>Substitute Teachers and Aides</t>
  </si>
  <si>
    <t>123</t>
  </si>
  <si>
    <t>Purchased Professional and Technical Services</t>
  </si>
  <si>
    <t>300</t>
  </si>
  <si>
    <t>See Rev. &amp; Exp Assumptions tab (Other Contract Services - Educational).</t>
  </si>
  <si>
    <t>Repairs and Maintenance Services</t>
  </si>
  <si>
    <t>430</t>
  </si>
  <si>
    <t>Travel Expense Reimbursement</t>
  </si>
  <si>
    <t>582</t>
  </si>
  <si>
    <t xml:space="preserve">Instructional Supplies </t>
  </si>
  <si>
    <r>
      <t xml:space="preserve">Materials and Supplies </t>
    </r>
    <r>
      <rPr>
        <sz val="9"/>
        <rFont val="Arial"/>
        <family val="2"/>
      </rPr>
      <t>(e.g., printed report cards)</t>
    </r>
  </si>
  <si>
    <t>610</t>
  </si>
  <si>
    <t>Textbooks/Workbooks</t>
  </si>
  <si>
    <t>642</t>
  </si>
  <si>
    <t>Equipment</t>
  </si>
  <si>
    <t>730</t>
  </si>
  <si>
    <t>Miscellaneous Expenditures</t>
  </si>
  <si>
    <t>890</t>
  </si>
  <si>
    <t>Group Health Insurance</t>
  </si>
  <si>
    <t>210</t>
  </si>
  <si>
    <t>Social Security</t>
  </si>
  <si>
    <t>220</t>
  </si>
  <si>
    <t>Medicare</t>
  </si>
  <si>
    <t>225</t>
  </si>
  <si>
    <t>Employer's Contribution to Retirement</t>
  </si>
  <si>
    <t>23X</t>
  </si>
  <si>
    <t>Unemployment Compensation</t>
  </si>
  <si>
    <t>250</t>
  </si>
  <si>
    <t>Workmen's Compensation</t>
  </si>
  <si>
    <t>260</t>
  </si>
  <si>
    <t>(additional object codes may need to be added)</t>
  </si>
  <si>
    <t>Student Activity Expenses</t>
  </si>
  <si>
    <t>TOTAL A. Regular Program Expenditures</t>
  </si>
  <si>
    <t>B.  Special Education Programs (Including Summer &amp; Preschool)</t>
  </si>
  <si>
    <t xml:space="preserve">       &amp; Gifted/Talented Programs</t>
  </si>
  <si>
    <t>112</t>
  </si>
  <si>
    <t>1210</t>
  </si>
  <si>
    <t>Therapists (OT,PT,Speech,etc.)</t>
  </si>
  <si>
    <t>113</t>
  </si>
  <si>
    <t>See Revenue and Expenses Assumptions Tab.</t>
  </si>
  <si>
    <t>Instructional Supplies</t>
  </si>
  <si>
    <t>Materials and Supplies</t>
  </si>
  <si>
    <t>1200</t>
  </si>
  <si>
    <t>TOTAL B. Special Education Programs</t>
  </si>
  <si>
    <t xml:space="preserve">C.  Other Instructional Programs (Vocational Ed., Special </t>
  </si>
  <si>
    <t xml:space="preserve">      Programs, Adult Ed., and Other Programs)</t>
  </si>
  <si>
    <t>Varies</t>
  </si>
  <si>
    <t>Furniture and Equipment</t>
  </si>
  <si>
    <t>73X</t>
  </si>
  <si>
    <t>C.  TOTAL Other Instructional Programs</t>
  </si>
  <si>
    <t>TOTAL I.  INSTRUCTION</t>
  </si>
  <si>
    <t>II.  SUPPORT SERVICES PROGRAMS</t>
  </si>
  <si>
    <t>A.  Pupil Support Services</t>
  </si>
  <si>
    <r>
      <t xml:space="preserve">Child Welfare and Attendance Svcs. </t>
    </r>
    <r>
      <rPr>
        <sz val="8"/>
        <rFont val="Arial"/>
        <family val="2"/>
      </rPr>
      <t>(Supervisor/Secretarial)</t>
    </r>
  </si>
  <si>
    <t>21XX</t>
  </si>
  <si>
    <r>
      <t xml:space="preserve">Guidance Services </t>
    </r>
    <r>
      <rPr>
        <sz val="8"/>
        <rFont val="Arial"/>
        <family val="2"/>
      </rPr>
      <t>(Guidance Counselor)</t>
    </r>
  </si>
  <si>
    <r>
      <t>Health Services</t>
    </r>
    <r>
      <rPr>
        <sz val="8"/>
        <rFont val="Arial"/>
        <family val="2"/>
      </rPr>
      <t xml:space="preserve"> (Nurse)</t>
    </r>
  </si>
  <si>
    <t>Pupil Assessment and Appraisal Services</t>
  </si>
  <si>
    <t>TOTAL A. Pupil Support Services</t>
  </si>
  <si>
    <t>B.  Instructional Staff Services</t>
  </si>
  <si>
    <t>Salaries of Directors, Supervisors, Coordinators, ect.</t>
  </si>
  <si>
    <t>22XX</t>
  </si>
  <si>
    <t>Instruction and Curriculum Development Services</t>
  </si>
  <si>
    <t>Travel &amp; Mileage Expense Reimbursement</t>
  </si>
  <si>
    <t>58X</t>
  </si>
  <si>
    <t>Instructional Staff Training Services</t>
  </si>
  <si>
    <t>School Library Services</t>
  </si>
  <si>
    <t>TOTAL B. Instructional Staff Services</t>
  </si>
  <si>
    <t>C.  General Administration</t>
  </si>
  <si>
    <t>Board of Directors</t>
  </si>
  <si>
    <t>Legal Services</t>
  </si>
  <si>
    <t>23XX</t>
  </si>
  <si>
    <t>2311</t>
  </si>
  <si>
    <t>Audit Services</t>
  </si>
  <si>
    <t>333</t>
  </si>
  <si>
    <t>Insurance (Other than Emp. Benefits)</t>
  </si>
  <si>
    <t>52X</t>
  </si>
  <si>
    <t>540</t>
  </si>
  <si>
    <r>
      <t xml:space="preserve">Travel/Mileage </t>
    </r>
    <r>
      <rPr>
        <sz val="9"/>
        <rFont val="Arial"/>
        <family val="2"/>
      </rPr>
      <t>(Board of Directors)</t>
    </r>
  </si>
  <si>
    <t>Dues and Fees</t>
  </si>
  <si>
    <t>810</t>
  </si>
  <si>
    <t>Judgements</t>
  </si>
  <si>
    <t>820</t>
  </si>
  <si>
    <t>TOTAL C. General Administration</t>
  </si>
  <si>
    <t>D.  School Administration</t>
  </si>
  <si>
    <t>Principals</t>
  </si>
  <si>
    <t>111</t>
  </si>
  <si>
    <t>2410</t>
  </si>
  <si>
    <t>Assistant Principals</t>
  </si>
  <si>
    <t>2420</t>
  </si>
  <si>
    <t>Clerical/Secretarial</t>
  </si>
  <si>
    <t>114</t>
  </si>
  <si>
    <t>2400</t>
  </si>
  <si>
    <t>See Rev. &amp; Exp. Assumptions Tab
Professional Development, Printing and Binding, Other Contract Services - Admin, Special Events, Other Misc. Expenses</t>
  </si>
  <si>
    <t>Rental of Equipment and Vehicles</t>
  </si>
  <si>
    <t>442</t>
  </si>
  <si>
    <t>See Rev. &amp; Exp. Assumptions Tab</t>
  </si>
  <si>
    <t>Telephone and Postage</t>
  </si>
  <si>
    <t>530</t>
  </si>
  <si>
    <r>
      <t xml:space="preserve">Dues and Fees </t>
    </r>
    <r>
      <rPr>
        <sz val="9"/>
        <rFont val="Arial"/>
        <family val="2"/>
      </rPr>
      <t>(Southern Association, etc.)</t>
    </r>
  </si>
  <si>
    <t>24XX</t>
  </si>
  <si>
    <t xml:space="preserve">TOTAL D. School Administration </t>
  </si>
  <si>
    <t>E.  Business Services</t>
  </si>
  <si>
    <t xml:space="preserve">Fiscal Services (Internal Auditing, Budgeting, </t>
  </si>
  <si>
    <t>Payroll, Financial and Property Accounting, etc.)</t>
  </si>
  <si>
    <t xml:space="preserve">  </t>
  </si>
  <si>
    <t>11X</t>
  </si>
  <si>
    <t>25XX</t>
  </si>
  <si>
    <t>2510</t>
  </si>
  <si>
    <t>See Rev &amp; Exp assumptions Tab (Payroll Service Fees, Office Temps)</t>
  </si>
  <si>
    <r>
      <t>Technical Services (</t>
    </r>
    <r>
      <rPr>
        <sz val="9"/>
        <rFont val="Arial"/>
        <family val="2"/>
      </rPr>
      <t>Bank Charges)</t>
    </r>
  </si>
  <si>
    <t>340</t>
  </si>
  <si>
    <t>Postage</t>
  </si>
  <si>
    <t>Interest (short-term loans)</t>
  </si>
  <si>
    <t>830</t>
  </si>
  <si>
    <t>2513</t>
  </si>
  <si>
    <t>TOTAL E. Business Services</t>
  </si>
  <si>
    <t>F.  Operation and Maintenance of Plant Services</t>
  </si>
  <si>
    <r>
      <t xml:space="preserve">Salaries </t>
    </r>
    <r>
      <rPr>
        <sz val="8"/>
        <rFont val="Arial"/>
        <family val="2"/>
      </rPr>
      <t>(Custodians, Security, Crossing Patrol)</t>
    </r>
  </si>
  <si>
    <t>26XX</t>
  </si>
  <si>
    <t>2600</t>
  </si>
  <si>
    <t>See Rev. &amp; Exp Assumptions tab - (HVAC Contract, Maintenance Temps, Contracted IT Service)</t>
  </si>
  <si>
    <t>2640</t>
  </si>
  <si>
    <t>Rental of Land</t>
  </si>
  <si>
    <t>441</t>
  </si>
  <si>
    <t>Gasoline</t>
  </si>
  <si>
    <t>626</t>
  </si>
  <si>
    <t>Operating Buildings</t>
  </si>
  <si>
    <t>Building Rental/Lease</t>
  </si>
  <si>
    <t>2620</t>
  </si>
  <si>
    <t>Water/Sewage</t>
  </si>
  <si>
    <t>411</t>
  </si>
  <si>
    <t>Disposal Services</t>
  </si>
  <si>
    <t>421</t>
  </si>
  <si>
    <t>Custodial Services</t>
  </si>
  <si>
    <t>423</t>
  </si>
  <si>
    <t>Property Insurance</t>
  </si>
  <si>
    <t>522</t>
  </si>
  <si>
    <t>Telephone</t>
  </si>
  <si>
    <t>Natural Gas and Electricity</t>
  </si>
  <si>
    <t>62X</t>
  </si>
  <si>
    <t>Care and Upkeep of Grounds</t>
  </si>
  <si>
    <t>4XX</t>
  </si>
  <si>
    <t>Care and Upkeep of Equipment</t>
  </si>
  <si>
    <t>Vehicle Operation and Maintenance</t>
  </si>
  <si>
    <t>TOTAL F. Operation &amp; Maintenance of Plant Services</t>
  </si>
  <si>
    <t>G.  Student Transportation Services</t>
  </si>
  <si>
    <t>3XX</t>
  </si>
  <si>
    <t>27XX</t>
  </si>
  <si>
    <t>Regular Transportation Services</t>
  </si>
  <si>
    <r>
      <t xml:space="preserve">Salaries </t>
    </r>
    <r>
      <rPr>
        <sz val="9"/>
        <rFont val="Arial"/>
        <family val="2"/>
      </rPr>
      <t>(Bus Driver &amp; Substitutes)</t>
    </r>
  </si>
  <si>
    <t>2721</t>
  </si>
  <si>
    <t>Payments in Lieu of Transportation</t>
  </si>
  <si>
    <t>519</t>
  </si>
  <si>
    <t>Fleet Insurance</t>
  </si>
  <si>
    <t>523</t>
  </si>
  <si>
    <t>Gasoline/Diesel</t>
  </si>
  <si>
    <t>TOTAL G. Student Transportation Services</t>
  </si>
  <si>
    <t>H.  Central Services</t>
  </si>
  <si>
    <t>Planning, Research, Development, and Evaluation Svcs.</t>
  </si>
  <si>
    <t>28XX</t>
  </si>
  <si>
    <t>Fingerprinting and Background Check</t>
  </si>
  <si>
    <t>339</t>
  </si>
  <si>
    <t>2830</t>
  </si>
  <si>
    <t>Data Processing Services</t>
  </si>
  <si>
    <t>TOTAL H. Central Services</t>
  </si>
  <si>
    <t>TOTAL II.  SUPPORT SERVICE EXPENDITURES</t>
  </si>
  <si>
    <t>III. OPERATION OF NON-INSTRUCTIONAL SERVICES</t>
  </si>
  <si>
    <t>A.  Food Service Operations</t>
  </si>
  <si>
    <t xml:space="preserve">Salaries </t>
  </si>
  <si>
    <t>Purchased Property Services</t>
  </si>
  <si>
    <t>3100</t>
  </si>
  <si>
    <t>Food Service Management</t>
  </si>
  <si>
    <t>570</t>
  </si>
  <si>
    <t>Travel Reimbursement &amp; Mileage</t>
  </si>
  <si>
    <r>
      <t>Energy</t>
    </r>
    <r>
      <rPr>
        <sz val="9"/>
        <rFont val="Arial"/>
        <family val="2"/>
      </rPr>
      <t xml:space="preserve"> (Gas, Electricity, etc.)</t>
    </r>
  </si>
  <si>
    <t>620</t>
  </si>
  <si>
    <t>Technical Services</t>
  </si>
  <si>
    <t>Food (Purchased &amp; Commodities)</t>
  </si>
  <si>
    <t>63X</t>
  </si>
  <si>
    <t>31XX</t>
  </si>
  <si>
    <t>TOTAL A. Food Service Operations</t>
  </si>
  <si>
    <t>B.  Community Service Operations (e.g. 4-H programs)</t>
  </si>
  <si>
    <t>33XX</t>
  </si>
  <si>
    <t>3300</t>
  </si>
  <si>
    <t>TOTAL B. Community Service Operations</t>
  </si>
  <si>
    <t>TOTAL III.  OPERATION OF NON-INSTRUCTIONAL</t>
  </si>
  <si>
    <t>SERVICE EXPENDITURES</t>
  </si>
  <si>
    <t>IV.  FACILITY ACQUISITION AND CONSTRUCTION SVCS.</t>
  </si>
  <si>
    <t>Architect/Engineering Services</t>
  </si>
  <si>
    <t>334</t>
  </si>
  <si>
    <t>4300</t>
  </si>
  <si>
    <t>Construction Services</t>
  </si>
  <si>
    <t>450</t>
  </si>
  <si>
    <t>4500</t>
  </si>
  <si>
    <t>Building Improvements - Renovate/Remodel</t>
  </si>
  <si>
    <t>4600</t>
  </si>
  <si>
    <t>4000</t>
  </si>
  <si>
    <t>TOTAL IV. FACILITY ACQUISITION AND CONSTRUCTION</t>
  </si>
  <si>
    <t xml:space="preserve"> SERVICE EXPENDITURES</t>
  </si>
  <si>
    <t>V. DEBT SERVICE</t>
  </si>
  <si>
    <t>Debt Service</t>
  </si>
  <si>
    <t>Banking Services</t>
  </si>
  <si>
    <t>5100</t>
  </si>
  <si>
    <t>Interest (long-term)</t>
  </si>
  <si>
    <t>Redemption of Principal</t>
  </si>
  <si>
    <t>910</t>
  </si>
  <si>
    <t>TOTAL V.  DEBT SERVICE</t>
  </si>
  <si>
    <t>TOTAL I - V.  ALL EXPENDITURES</t>
  </si>
  <si>
    <t>VI.  OTHER FINANCING USES</t>
  </si>
  <si>
    <r>
      <t xml:space="preserve">Other Uses of Funds </t>
    </r>
    <r>
      <rPr>
        <i/>
        <sz val="9"/>
        <rFont val="Arial"/>
        <family val="2"/>
      </rPr>
      <t>(provide detail)</t>
    </r>
  </si>
  <si>
    <t>52XX</t>
  </si>
  <si>
    <t>TOTAL VI.  OTHER FINANCING SOURCES (USES)</t>
  </si>
  <si>
    <t>FUND BALANCES</t>
  </si>
  <si>
    <t>EXCESS (DEFICIENCY) OF REVENUE AND OTHER SOURCES</t>
  </si>
  <si>
    <t>OVER EXPENDITURES AND OTHER USES</t>
  </si>
  <si>
    <t>Operating Statement of Activities</t>
  </si>
  <si>
    <r>
      <t xml:space="preserve">A note about assumptions: </t>
    </r>
    <r>
      <rPr>
        <sz val="11"/>
        <rFont val="Arial"/>
        <family val="2"/>
      </rPr>
      <t>For all line items related to staffing, assumptions should at a minimum include the number of staff members in each year, whether they will be employees or contractors, and, if contractors, the nature of their work.</t>
    </r>
  </si>
  <si>
    <t>Year 1</t>
  </si>
  <si>
    <t>Year 2</t>
  </si>
  <si>
    <t>Year 3</t>
  </si>
  <si>
    <t>Year 4</t>
  </si>
  <si>
    <t>Year 5</t>
  </si>
  <si>
    <t>See MFP Assumptions Tab.</t>
  </si>
  <si>
    <t>Donations from Choice Foundation.</t>
  </si>
  <si>
    <t>See Rev &amp; Exp Assumptions Tab.</t>
  </si>
  <si>
    <t>See Rev &amp; Exp Assumptions Tab. (Includes IDEA Part B and Pre-School).</t>
  </si>
  <si>
    <t>See Rev &amp; Exp Assumptions Tab. (Includes Title I, II, III, IV, and V.)</t>
  </si>
  <si>
    <t>Assumes as addt'l 3 teachers each school year @$49K</t>
  </si>
  <si>
    <t>Assumes no additional Aides.</t>
  </si>
  <si>
    <t>Assumes 5% increase annually</t>
  </si>
  <si>
    <t>6.2% of gross salaries</t>
  </si>
  <si>
    <t>1.45% of gross salaries</t>
  </si>
  <si>
    <t>5% of gross salaries</t>
  </si>
  <si>
    <t>See Rev &amp; Exp Assumptions Tab</t>
  </si>
  <si>
    <t>See staffng Assumptions Tab.  Assume No additional hires and no salary increases.</t>
  </si>
  <si>
    <t>CMO Overhead fee of 2% of Total Revenue.</t>
  </si>
  <si>
    <t>Cumulative Fund Balance:</t>
  </si>
  <si>
    <t>Year 1 Cash Flow Projection</t>
  </si>
  <si>
    <t>July</t>
  </si>
  <si>
    <t>August</t>
  </si>
  <si>
    <t>September</t>
  </si>
  <si>
    <t>October</t>
  </si>
  <si>
    <t>November</t>
  </si>
  <si>
    <t>December</t>
  </si>
  <si>
    <t>January</t>
  </si>
  <si>
    <t>February</t>
  </si>
  <si>
    <t>March</t>
  </si>
  <si>
    <t>April</t>
  </si>
  <si>
    <t>May</t>
  </si>
  <si>
    <t>June</t>
  </si>
  <si>
    <t>Total</t>
  </si>
  <si>
    <t>Year 1 Detalied
Staffing Assumptions</t>
  </si>
  <si>
    <t>Function</t>
  </si>
  <si>
    <t>Position</t>
  </si>
  <si>
    <t>#</t>
  </si>
  <si>
    <t>Grade</t>
  </si>
  <si>
    <t>Class</t>
  </si>
  <si>
    <t>Dept.</t>
  </si>
  <si>
    <t>Salary</t>
  </si>
  <si>
    <t>Health
Dental
Vision</t>
  </si>
  <si>
    <t>SS</t>
  </si>
  <si>
    <t>401K</t>
  </si>
  <si>
    <t>SPED</t>
  </si>
  <si>
    <t>SPED
Instructor(s)</t>
  </si>
  <si>
    <t>K,1,2</t>
  </si>
  <si>
    <t xml:space="preserve"> Special Education Programs</t>
  </si>
  <si>
    <t>3,4</t>
  </si>
  <si>
    <t>5,6</t>
  </si>
  <si>
    <t>7,8</t>
  </si>
  <si>
    <t>SPED
Prara-Professionals</t>
  </si>
  <si>
    <t>Admin</t>
  </si>
  <si>
    <t>Division Heads</t>
  </si>
  <si>
    <t>SPED Coordinator</t>
  </si>
  <si>
    <t>Assistant
Principal</t>
  </si>
  <si>
    <t>Office Staff</t>
  </si>
  <si>
    <t>Ops Manager</t>
  </si>
  <si>
    <t>Support</t>
  </si>
  <si>
    <t>Crossing Guards</t>
  </si>
  <si>
    <t>IT</t>
  </si>
  <si>
    <t>Maintenance</t>
  </si>
  <si>
    <t>Disciplinarians</t>
  </si>
  <si>
    <t>Pupil Support Services</t>
  </si>
  <si>
    <t>Nurse</t>
  </si>
  <si>
    <t>Social Worker(s)</t>
  </si>
  <si>
    <t>Instruction</t>
  </si>
  <si>
    <t>1st Instructor(s)</t>
  </si>
  <si>
    <t>Regular Programs - Elementary/Secondary</t>
  </si>
  <si>
    <t>2nd Instructor(s)</t>
  </si>
  <si>
    <t>3rd Instructor(s)</t>
  </si>
  <si>
    <t>4th Instructor(s)</t>
  </si>
  <si>
    <t>ELA/Social Studies</t>
  </si>
  <si>
    <t>Math/Science</t>
  </si>
  <si>
    <t>5th Instructor(s)</t>
  </si>
  <si>
    <t>6th Instructor(s)</t>
  </si>
  <si>
    <t>7th Instructor(s)</t>
  </si>
  <si>
    <t>Interventionist(s)</t>
  </si>
  <si>
    <t>K Instructor(s)</t>
  </si>
  <si>
    <t>K</t>
  </si>
  <si>
    <t>Para-Professionals</t>
  </si>
  <si>
    <t>Specials</t>
  </si>
  <si>
    <t>Revenue Projections</t>
  </si>
  <si>
    <t>Revenue Stream</t>
  </si>
  <si>
    <t>Per
Student
Allocation</t>
  </si>
  <si>
    <t>425
Students</t>
  </si>
  <si>
    <t>450
Students</t>
  </si>
  <si>
    <t>475
Students</t>
  </si>
  <si>
    <t>500
Students</t>
  </si>
  <si>
    <t>525
Students</t>
  </si>
  <si>
    <t>Title Funds</t>
  </si>
  <si>
    <t>IDEA Funds - (Part B, Pre-K and ESYS)</t>
  </si>
  <si>
    <t>National School Meal Program</t>
  </si>
  <si>
    <t>Food Sales</t>
  </si>
  <si>
    <t>Miscellaneous Revenue</t>
  </si>
  <si>
    <t>Medicaid Revenue</t>
  </si>
  <si>
    <t>Student Activity Revenue</t>
  </si>
  <si>
    <t>Expense Projections
(Based on Student Enrollment)</t>
  </si>
  <si>
    <t>Expense</t>
  </si>
  <si>
    <t>Other Contract Services - Educational</t>
  </si>
  <si>
    <t>Printing and Binding</t>
  </si>
  <si>
    <t>Advertising, Recruitment &amp; Marketing</t>
  </si>
  <si>
    <t>Bank Fees</t>
  </si>
  <si>
    <t>Waste/Trash Disposal</t>
  </si>
  <si>
    <t>Contracted IT Service</t>
  </si>
  <si>
    <t>Other Contract Services - Admin</t>
  </si>
  <si>
    <t>Teaching/Classroom Supplies</t>
  </si>
  <si>
    <t>Equipment &amp; Other Fixed Assets</t>
  </si>
  <si>
    <t>Dues, Fees and Membership</t>
  </si>
  <si>
    <t>Other Misc. Expenses</t>
  </si>
  <si>
    <t>Contracted SPED Services</t>
  </si>
  <si>
    <t>Janitorial Contract</t>
  </si>
  <si>
    <t>Student Transportation</t>
  </si>
  <si>
    <t>Expense Projections
(Based on Facility Square Footage)</t>
  </si>
  <si>
    <t>Per
SF
Allocation</t>
  </si>
  <si>
    <t>100K
SF</t>
  </si>
  <si>
    <t>Office Temps</t>
  </si>
  <si>
    <t>Maintenance Temps</t>
  </si>
  <si>
    <t>Renting &amp; Leasing</t>
  </si>
  <si>
    <t>Rep/Maint - Bldg/Facility Equip.</t>
  </si>
  <si>
    <t>Telephone &amp; Internet</t>
  </si>
  <si>
    <t>HVAC Contract</t>
  </si>
  <si>
    <t>Expense Projections
(Based on # of Employees)</t>
  </si>
  <si>
    <t>Per
EE
Allocation</t>
  </si>
  <si>
    <t>54
EE's</t>
  </si>
  <si>
    <t>57
EE's</t>
  </si>
  <si>
    <t>60
EE's</t>
  </si>
  <si>
    <t>63
EE's</t>
  </si>
  <si>
    <t>66
EE's</t>
  </si>
  <si>
    <t>Background/Drug Screenings</t>
  </si>
  <si>
    <t>Professional Development</t>
  </si>
  <si>
    <t>Payroll Fees</t>
  </si>
  <si>
    <t>Office &amp; Consumable Supplies</t>
  </si>
  <si>
    <t>Special Events</t>
  </si>
  <si>
    <t>Travel Expenses</t>
  </si>
  <si>
    <t>2018 - 19 MFP Projections</t>
  </si>
  <si>
    <t>Site:</t>
  </si>
  <si>
    <t>DUN</t>
  </si>
  <si>
    <t>Tiered Funding Assumptions</t>
  </si>
  <si>
    <t>Category</t>
  </si>
  <si>
    <t>Counts</t>
  </si>
  <si>
    <t>2016‐17
Per Pupil</t>
  </si>
  <si>
    <t>Group
Allocation</t>
  </si>
  <si>
    <t>Local
or
State</t>
  </si>
  <si>
    <t>Tier</t>
  </si>
  <si>
    <t>%
of
Enrollment</t>
  </si>
  <si>
    <t>State MFP</t>
  </si>
  <si>
    <t>State</t>
  </si>
  <si>
    <t>Special Education Tier 1</t>
  </si>
  <si>
    <t>Based
on
%'s of other
Choice
Schools</t>
  </si>
  <si>
    <t>Special Education Tier 2</t>
  </si>
  <si>
    <t>Special Education Tier 3</t>
  </si>
  <si>
    <t>Special Education Tier 4</t>
  </si>
  <si>
    <t>Special Education Tier 5</t>
  </si>
  <si>
    <t>Gifted and Talented</t>
  </si>
  <si>
    <t>Teacher Pay Raise</t>
  </si>
  <si>
    <t>Local MFP (State Facility)</t>
  </si>
  <si>
    <t>Local</t>
  </si>
  <si>
    <t>Total Allocation</t>
  </si>
  <si>
    <t>Deductions</t>
  </si>
  <si>
    <t>State Admin Fees (2%)</t>
  </si>
  <si>
    <t>Local Admin Fees (2%)</t>
  </si>
  <si>
    <t>Audit Adj's per LDOE</t>
  </si>
  <si>
    <t>Hold Harmless (Per LDOE)</t>
  </si>
  <si>
    <t>Net Total Allocation</t>
  </si>
  <si>
    <t>Average Per Pupil</t>
  </si>
  <si>
    <t>Total Net Allocation</t>
  </si>
  <si>
    <t>2019 - 20 MFP Projections</t>
  </si>
  <si>
    <t>2020 - 21 MFP Projections</t>
  </si>
  <si>
    <t>2021 - 22 MFP Projections</t>
  </si>
  <si>
    <t>2022 - 23 MFP Projections</t>
  </si>
  <si>
    <t>Enrollment
Assumptions</t>
  </si>
  <si>
    <t>18-19</t>
  </si>
  <si>
    <t>19-20</t>
  </si>
  <si>
    <t>20-21</t>
  </si>
  <si>
    <t>21-22</t>
  </si>
  <si>
    <t>22-23</t>
  </si>
  <si>
    <t>Paul L. Dunbar Charter School</t>
  </si>
  <si>
    <r>
      <t xml:space="preserve">School Name:  </t>
    </r>
    <r>
      <rPr>
        <b/>
        <u/>
        <sz val="11"/>
        <rFont val="Calibri"/>
        <family val="2"/>
        <scheme val="minor"/>
      </rPr>
      <t xml:space="preserve">Paul L. Dunbar Charter School   
</t>
    </r>
  </si>
  <si>
    <r>
      <t xml:space="preserve">School Name:  </t>
    </r>
    <r>
      <rPr>
        <b/>
        <u/>
        <sz val="11"/>
        <rFont val="Calibri"/>
        <family val="2"/>
        <scheme val="minor"/>
      </rPr>
      <t>Paul L. Dunbar Charter School</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</si>
</sst>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_(&quot;$&quot;* #,##0_);_(&quot;$&quot;* \(#,##0\);_(&quot;$&quot;* &quot;-&quot;??_);_(@_)"/>
  </numFmts>
  <fonts count="28" x14ac:knownFonts="1">
    <font>
      <sz val="10"/>
      <name val="Arial"/>
    </font>
    <font>
      <sz val="10"/>
      <name val="Arial"/>
      <family val="2"/>
    </font>
    <font>
      <sz val="8"/>
      <name val="Arial"/>
      <family val="2"/>
    </font>
    <font>
      <sz val="10"/>
      <name val="Arial"/>
      <family val="2"/>
    </font>
    <font>
      <b/>
      <sz val="10"/>
      <name val="Arial"/>
      <family val="2"/>
    </font>
    <font>
      <b/>
      <sz val="11"/>
      <name val="Arial"/>
      <family val="2"/>
    </font>
    <font>
      <sz val="11"/>
      <name val="Arial"/>
      <family val="2"/>
    </font>
    <font>
      <b/>
      <sz val="9"/>
      <name val="Arial"/>
      <family val="2"/>
    </font>
    <font>
      <sz val="9"/>
      <name val="Arial"/>
      <family val="2"/>
    </font>
    <font>
      <i/>
      <sz val="9"/>
      <name val="Arial"/>
      <family val="2"/>
    </font>
    <font>
      <i/>
      <sz val="8"/>
      <name val="Arial"/>
      <family val="2"/>
    </font>
    <font>
      <sz val="10.5"/>
      <name val="Arial"/>
      <family val="2"/>
    </font>
    <font>
      <i/>
      <sz val="10"/>
      <name val="Arial"/>
      <family val="2"/>
    </font>
    <font>
      <u/>
      <sz val="7.5"/>
      <color indexed="12"/>
      <name val="Arial"/>
      <family val="2"/>
    </font>
    <font>
      <sz val="11"/>
      <name val="Calibri"/>
      <family val="2"/>
    </font>
    <font>
      <sz val="7"/>
      <name val="Times New Roman"/>
      <family val="1"/>
    </font>
    <font>
      <sz val="20"/>
      <name val="Arial"/>
      <family val="2"/>
    </font>
    <font>
      <sz val="11"/>
      <name val="Wingdings"/>
      <charset val="2"/>
    </font>
    <font>
      <b/>
      <sz val="12"/>
      <name val="Arial"/>
      <family val="2"/>
    </font>
    <font>
      <sz val="12"/>
      <name val="Calibri"/>
      <family val="2"/>
    </font>
    <font>
      <b/>
      <sz val="12"/>
      <name val="Calibri"/>
      <family val="2"/>
    </font>
    <font>
      <u/>
      <sz val="11"/>
      <color indexed="12"/>
      <name val="Calibri"/>
      <family val="2"/>
      <scheme val="minor"/>
    </font>
    <font>
      <b/>
      <sz val="9"/>
      <name val="Calibri"/>
      <family val="2"/>
      <scheme val="minor"/>
    </font>
    <font>
      <b/>
      <sz val="11"/>
      <name val="Calibri"/>
      <family val="2"/>
      <scheme val="minor"/>
    </font>
    <font>
      <sz val="12"/>
      <name val="Calibri"/>
      <family val="2"/>
      <scheme val="minor"/>
    </font>
    <font>
      <b/>
      <u/>
      <sz val="11"/>
      <name val="Calibri"/>
      <family val="2"/>
      <scheme val="minor"/>
    </font>
    <font>
      <sz val="10"/>
      <name val="Arial"/>
      <family val="2"/>
    </font>
    <font>
      <b/>
      <sz val="11"/>
      <color theme="1"/>
      <name val="Calibri"/>
      <family val="2"/>
      <scheme val="minor"/>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8" tint="0.79998168889431442"/>
        <bgColor indexed="64"/>
      </patternFill>
    </fill>
  </fills>
  <borders count="124">
    <border>
      <left/>
      <right/>
      <top/>
      <bottom/>
      <diagonal/>
    </border>
    <border>
      <left/>
      <right/>
      <top style="thin">
        <color auto="1"/>
      </top>
      <bottom style="thin">
        <color auto="1"/>
      </bottom>
      <diagonal/>
    </border>
    <border>
      <left/>
      <right/>
      <top style="medium">
        <color auto="1"/>
      </top>
      <bottom style="medium">
        <color auto="1"/>
      </bottom>
      <diagonal/>
    </border>
    <border>
      <left/>
      <right/>
      <top style="hair">
        <color auto="1"/>
      </top>
      <bottom style="hair">
        <color auto="1"/>
      </bottom>
      <diagonal/>
    </border>
    <border>
      <left/>
      <right/>
      <top/>
      <bottom style="hair">
        <color auto="1"/>
      </bottom>
      <diagonal/>
    </border>
    <border>
      <left style="double">
        <color auto="1"/>
      </left>
      <right style="thin">
        <color auto="1"/>
      </right>
      <top/>
      <bottom/>
      <diagonal/>
    </border>
    <border>
      <left style="thin">
        <color auto="1"/>
      </left>
      <right style="double">
        <color auto="1"/>
      </right>
      <top/>
      <bottom/>
      <diagonal/>
    </border>
    <border>
      <left style="double">
        <color auto="1"/>
      </left>
      <right style="thin">
        <color auto="1"/>
      </right>
      <top/>
      <bottom style="hair">
        <color auto="1"/>
      </bottom>
      <diagonal/>
    </border>
    <border>
      <left style="thin">
        <color auto="1"/>
      </left>
      <right style="double">
        <color auto="1"/>
      </right>
      <top/>
      <bottom style="hair">
        <color auto="1"/>
      </bottom>
      <diagonal/>
    </border>
    <border>
      <left style="double">
        <color auto="1"/>
      </left>
      <right style="thin">
        <color auto="1"/>
      </right>
      <top style="hair">
        <color auto="1"/>
      </top>
      <bottom style="hair">
        <color auto="1"/>
      </bottom>
      <diagonal/>
    </border>
    <border>
      <left style="thin">
        <color auto="1"/>
      </left>
      <right style="double">
        <color auto="1"/>
      </right>
      <top style="hair">
        <color auto="1"/>
      </top>
      <bottom style="hair">
        <color auto="1"/>
      </bottom>
      <diagonal/>
    </border>
    <border>
      <left style="double">
        <color auto="1"/>
      </left>
      <right style="thin">
        <color auto="1"/>
      </right>
      <top style="hair">
        <color auto="1"/>
      </top>
      <bottom/>
      <diagonal/>
    </border>
    <border>
      <left style="thin">
        <color auto="1"/>
      </left>
      <right style="double">
        <color auto="1"/>
      </right>
      <top style="hair">
        <color auto="1"/>
      </top>
      <bottom/>
      <diagonal/>
    </border>
    <border>
      <left style="double">
        <color auto="1"/>
      </left>
      <right/>
      <top style="hair">
        <color auto="1"/>
      </top>
      <bottom style="hair">
        <color auto="1"/>
      </bottom>
      <diagonal/>
    </border>
    <border>
      <left style="double">
        <color auto="1"/>
      </left>
      <right/>
      <top/>
      <bottom style="hair">
        <color auto="1"/>
      </bottom>
      <diagonal/>
    </border>
    <border>
      <left style="double">
        <color auto="1"/>
      </left>
      <right/>
      <top style="double">
        <color auto="1"/>
      </top>
      <bottom/>
      <diagonal/>
    </border>
    <border>
      <left style="double">
        <color auto="1"/>
      </left>
      <right/>
      <top/>
      <bottom/>
      <diagonal/>
    </border>
    <border>
      <left/>
      <right/>
      <top style="double">
        <color auto="1"/>
      </top>
      <bottom/>
      <diagonal/>
    </border>
    <border>
      <left style="double">
        <color auto="1"/>
      </left>
      <right/>
      <top style="hair">
        <color auto="1"/>
      </top>
      <bottom/>
      <diagonal/>
    </border>
    <border>
      <left/>
      <right/>
      <top style="hair">
        <color auto="1"/>
      </top>
      <bottom/>
      <diagonal/>
    </border>
    <border>
      <left style="double">
        <color auto="1"/>
      </left>
      <right/>
      <top style="medium">
        <color auto="1"/>
      </top>
      <bottom style="medium">
        <color auto="1"/>
      </bottom>
      <diagonal/>
    </border>
    <border>
      <left style="double">
        <color auto="1"/>
      </left>
      <right style="thin">
        <color auto="1"/>
      </right>
      <top style="medium">
        <color auto="1"/>
      </top>
      <bottom style="medium">
        <color auto="1"/>
      </bottom>
      <diagonal/>
    </border>
    <border>
      <left style="thin">
        <color auto="1"/>
      </left>
      <right style="double">
        <color auto="1"/>
      </right>
      <top style="medium">
        <color auto="1"/>
      </top>
      <bottom style="medium">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double">
        <color auto="1"/>
      </right>
      <top style="hair">
        <color auto="1"/>
      </top>
      <bottom style="hair">
        <color auto="1"/>
      </bottom>
      <diagonal/>
    </border>
    <border>
      <left/>
      <right style="double">
        <color auto="1"/>
      </right>
      <top style="hair">
        <color auto="1"/>
      </top>
      <bottom/>
      <diagonal/>
    </border>
    <border>
      <left/>
      <right style="double">
        <color auto="1"/>
      </right>
      <top/>
      <bottom style="hair">
        <color auto="1"/>
      </bottom>
      <diagonal/>
    </border>
    <border>
      <left style="double">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double">
        <color auto="1"/>
      </right>
      <top style="medium">
        <color auto="1"/>
      </top>
      <bottom style="medium">
        <color auto="1"/>
      </bottom>
      <diagonal/>
    </border>
    <border>
      <left/>
      <right/>
      <top style="thin">
        <color auto="1"/>
      </top>
      <bottom/>
      <diagonal/>
    </border>
    <border>
      <left style="double">
        <color auto="1"/>
      </left>
      <right style="double">
        <color auto="1"/>
      </right>
      <top style="medium">
        <color auto="1"/>
      </top>
      <bottom/>
      <diagonal/>
    </border>
    <border>
      <left/>
      <right/>
      <top/>
      <bottom style="medium">
        <color auto="1"/>
      </bottom>
      <diagonal/>
    </border>
    <border>
      <left/>
      <right style="double">
        <color auto="1"/>
      </right>
      <top style="medium">
        <color auto="1"/>
      </top>
      <bottom/>
      <diagonal/>
    </border>
    <border>
      <left/>
      <right/>
      <top style="medium">
        <color auto="1"/>
      </top>
      <bottom/>
      <diagonal/>
    </border>
    <border>
      <left style="double">
        <color auto="1"/>
      </left>
      <right/>
      <top/>
      <bottom style="medium">
        <color auto="1"/>
      </bottom>
      <diagonal/>
    </border>
    <border>
      <left style="double">
        <color auto="1"/>
      </left>
      <right style="double">
        <color auto="1"/>
      </right>
      <top/>
      <bottom style="medium">
        <color auto="1"/>
      </bottom>
      <diagonal/>
    </border>
    <border>
      <left style="double">
        <color auto="1"/>
      </left>
      <right style="thin">
        <color auto="1"/>
      </right>
      <top/>
      <bottom style="medium">
        <color auto="1"/>
      </bottom>
      <diagonal/>
    </border>
    <border>
      <left style="thin">
        <color auto="1"/>
      </left>
      <right style="double">
        <color auto="1"/>
      </right>
      <top/>
      <bottom style="medium">
        <color auto="1"/>
      </bottom>
      <diagonal/>
    </border>
    <border>
      <left style="double">
        <color auto="1"/>
      </left>
      <right/>
      <top style="medium">
        <color auto="1"/>
      </top>
      <bottom/>
      <diagonal/>
    </border>
    <border>
      <left style="double">
        <color auto="1"/>
      </left>
      <right style="thin">
        <color auto="1"/>
      </right>
      <top style="medium">
        <color auto="1"/>
      </top>
      <bottom/>
      <diagonal/>
    </border>
    <border>
      <left style="thin">
        <color auto="1"/>
      </left>
      <right style="double">
        <color auto="1"/>
      </right>
      <top style="medium">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right style="double">
        <color auto="1"/>
      </right>
      <top style="double">
        <color auto="1"/>
      </top>
      <bottom/>
      <diagonal/>
    </border>
    <border>
      <left/>
      <right style="thin">
        <color auto="1"/>
      </right>
      <top/>
      <bottom style="hair">
        <color auto="1"/>
      </bottom>
      <diagonal/>
    </border>
    <border>
      <left style="thin">
        <color auto="1"/>
      </left>
      <right style="thin">
        <color auto="1"/>
      </right>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right style="double">
        <color auto="1"/>
      </right>
      <top style="hair">
        <color auto="1"/>
      </top>
      <bottom style="hair">
        <color auto="1"/>
      </bottom>
      <diagonal/>
    </border>
    <border>
      <left/>
      <right style="thin">
        <color auto="1"/>
      </right>
      <top style="hair">
        <color auto="1"/>
      </top>
      <bottom/>
      <diagonal/>
    </border>
    <border>
      <left style="thin">
        <color auto="1"/>
      </left>
      <right style="thin">
        <color auto="1"/>
      </right>
      <top style="hair">
        <color auto="1"/>
      </top>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style="thin">
        <color auto="1"/>
      </top>
      <bottom style="thin">
        <color auto="1"/>
      </bottom>
      <diagonal/>
    </border>
    <border>
      <left style="thin">
        <color auto="1"/>
      </left>
      <right/>
      <top style="medium">
        <color auto="1"/>
      </top>
      <bottom style="medium">
        <color auto="1"/>
      </bottom>
      <diagonal/>
    </border>
    <border>
      <left style="thin">
        <color auto="1"/>
      </left>
      <right/>
      <top/>
      <bottom/>
      <diagonal/>
    </border>
    <border>
      <left style="thin">
        <color auto="1"/>
      </left>
      <right/>
      <top style="medium">
        <color auto="1"/>
      </top>
      <bottom/>
      <diagonal/>
    </border>
    <border>
      <left style="thin">
        <color auto="1"/>
      </left>
      <right/>
      <top/>
      <bottom style="medium">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top/>
      <bottom style="double">
        <color auto="1"/>
      </bottom>
      <diagonal/>
    </border>
    <border>
      <left style="double">
        <color auto="1"/>
      </left>
      <right/>
      <top style="hair">
        <color auto="1"/>
      </top>
      <bottom style="double">
        <color auto="1"/>
      </bottom>
      <diagonal/>
    </border>
    <border>
      <left/>
      <right/>
      <top style="hair">
        <color auto="1"/>
      </top>
      <bottom style="double">
        <color auto="1"/>
      </bottom>
      <diagonal/>
    </border>
    <border>
      <left style="double">
        <color auto="1"/>
      </left>
      <right style="thin">
        <color auto="1"/>
      </right>
      <top style="hair">
        <color auto="1"/>
      </top>
      <bottom style="double">
        <color auto="1"/>
      </bottom>
      <diagonal/>
    </border>
    <border>
      <left style="thin">
        <color auto="1"/>
      </left>
      <right style="double">
        <color auto="1"/>
      </right>
      <top style="hair">
        <color auto="1"/>
      </top>
      <bottom style="double">
        <color auto="1"/>
      </bottom>
      <diagonal/>
    </border>
    <border>
      <left style="double">
        <color auto="1"/>
      </left>
      <right style="double">
        <color auto="1"/>
      </right>
      <top/>
      <bottom/>
      <diagonal/>
    </border>
    <border>
      <left style="double">
        <color auto="1"/>
      </left>
      <right style="double">
        <color auto="1"/>
      </right>
      <top style="hair">
        <color auto="1"/>
      </top>
      <bottom/>
      <diagonal/>
    </border>
    <border>
      <left style="double">
        <color auto="1"/>
      </left>
      <right style="double">
        <color auto="1"/>
      </right>
      <top style="thin">
        <color auto="1"/>
      </top>
      <bottom style="thin">
        <color auto="1"/>
      </bottom>
      <diagonal/>
    </border>
    <border>
      <left style="double">
        <color auto="1"/>
      </left>
      <right style="double">
        <color auto="1"/>
      </right>
      <top/>
      <bottom style="hair">
        <color auto="1"/>
      </bottom>
      <diagonal/>
    </border>
    <border>
      <left style="thin">
        <color auto="1"/>
      </left>
      <right/>
      <top style="double">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double">
        <color auto="1"/>
      </left>
      <right/>
      <top style="double">
        <color auto="1"/>
      </top>
      <bottom style="hair">
        <color auto="1"/>
      </bottom>
      <diagonal/>
    </border>
    <border>
      <left/>
      <right/>
      <top style="double">
        <color auto="1"/>
      </top>
      <bottom style="hair">
        <color auto="1"/>
      </bottom>
      <diagonal/>
    </border>
    <border>
      <left style="double">
        <color auto="1"/>
      </left>
      <right style="thin">
        <color auto="1"/>
      </right>
      <top style="double">
        <color auto="1"/>
      </top>
      <bottom style="hair">
        <color auto="1"/>
      </bottom>
      <diagonal/>
    </border>
    <border>
      <left style="thin">
        <color auto="1"/>
      </left>
      <right/>
      <top style="double">
        <color auto="1"/>
      </top>
      <bottom style="hair">
        <color auto="1"/>
      </bottom>
      <diagonal/>
    </border>
    <border>
      <left style="double">
        <color auto="1"/>
      </left>
      <right/>
      <top/>
      <bottom style="double">
        <color auto="1"/>
      </bottom>
      <diagonal/>
    </border>
    <border>
      <left style="double">
        <color auto="1"/>
      </left>
      <right style="thin">
        <color auto="1"/>
      </right>
      <top/>
      <bottom style="double">
        <color auto="1"/>
      </bottom>
      <diagonal/>
    </border>
    <border>
      <left style="thin">
        <color auto="1"/>
      </left>
      <right/>
      <top/>
      <bottom style="double">
        <color auto="1"/>
      </bottom>
      <diagonal/>
    </border>
    <border>
      <left style="double">
        <color auto="1"/>
      </left>
      <right style="double">
        <color auto="1"/>
      </right>
      <top style="thin">
        <color auto="1"/>
      </top>
      <bottom style="double">
        <color auto="1"/>
      </bottom>
      <diagonal/>
    </border>
    <border>
      <left style="double">
        <color auto="1"/>
      </left>
      <right style="double">
        <color auto="1"/>
      </right>
      <top style="double">
        <color auto="1"/>
      </top>
      <bottom style="hair">
        <color auto="1"/>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Dashed">
        <color auto="1"/>
      </top>
      <bottom/>
      <diagonal/>
    </border>
    <border>
      <left/>
      <right/>
      <top/>
      <bottom style="mediumDashed">
        <color auto="1"/>
      </bottom>
      <diagonal/>
    </border>
    <border>
      <left/>
      <right style="medium">
        <color auto="1"/>
      </right>
      <top style="mediumDashed">
        <color auto="1"/>
      </top>
      <bottom/>
      <diagonal/>
    </border>
    <border>
      <left style="medium">
        <color auto="1"/>
      </left>
      <right/>
      <top/>
      <bottom style="mediumDashed">
        <color auto="1"/>
      </bottom>
      <diagonal/>
    </border>
    <border>
      <left/>
      <right style="medium">
        <color auto="1"/>
      </right>
      <top/>
      <bottom style="mediumDashed">
        <color auto="1"/>
      </bottom>
      <diagonal/>
    </border>
    <border>
      <left style="medium">
        <color auto="1"/>
      </left>
      <right/>
      <top style="medium">
        <color auto="1"/>
      </top>
      <bottom/>
      <diagonal/>
    </border>
    <border>
      <left/>
      <right style="medium">
        <color auto="1"/>
      </right>
      <top style="medium">
        <color auto="1"/>
      </top>
      <bottom/>
      <diagonal/>
    </border>
    <border>
      <left/>
      <right/>
      <top style="mediumDashed">
        <color auto="1"/>
      </top>
      <bottom/>
      <diagonal/>
    </border>
    <border>
      <left style="thin">
        <color auto="1"/>
      </left>
      <right style="double">
        <color auto="1"/>
      </right>
      <top/>
      <bottom style="double">
        <color auto="1"/>
      </bottom>
      <diagonal/>
    </border>
    <border>
      <left/>
      <right style="double">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s>
  <cellStyleXfs count="5">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xf numFmtId="9" fontId="26" fillId="0" borderId="0" applyFont="0" applyFill="0" applyBorder="0" applyAlignment="0" applyProtection="0"/>
  </cellStyleXfs>
  <cellXfs count="645">
    <xf numFmtId="0" fontId="0" fillId="0" borderId="0" xfId="0"/>
    <xf numFmtId="0" fontId="5" fillId="0" borderId="0" xfId="0" applyFont="1" applyAlignment="1">
      <alignment horizontal="center"/>
    </xf>
    <xf numFmtId="0" fontId="6" fillId="0" borderId="0" xfId="0" applyFont="1"/>
    <xf numFmtId="0" fontId="6" fillId="0" borderId="0" xfId="0" applyFont="1" applyAlignment="1">
      <alignment horizontal="left"/>
    </xf>
    <xf numFmtId="0" fontId="5" fillId="0" borderId="0" xfId="0" applyFont="1"/>
    <xf numFmtId="0" fontId="5" fillId="0" borderId="0" xfId="0" applyFont="1" applyAlignment="1">
      <alignment horizontal="centerContinuous"/>
    </xf>
    <xf numFmtId="0" fontId="6" fillId="2" borderId="1" xfId="0" applyFont="1" applyFill="1" applyBorder="1"/>
    <xf numFmtId="0" fontId="6" fillId="2" borderId="2" xfId="0" applyFont="1" applyFill="1" applyBorder="1"/>
    <xf numFmtId="0" fontId="5" fillId="0" borderId="0" xfId="0" applyFont="1" applyFill="1" applyAlignment="1">
      <alignment horizontal="centerContinuous"/>
    </xf>
    <xf numFmtId="0" fontId="6" fillId="0" borderId="3" xfId="0" applyFont="1" applyBorder="1"/>
    <xf numFmtId="0" fontId="5" fillId="0" borderId="3" xfId="0" applyFont="1" applyBorder="1"/>
    <xf numFmtId="0" fontId="6" fillId="2" borderId="3" xfId="0" applyFont="1" applyFill="1" applyBorder="1"/>
    <xf numFmtId="0" fontId="6" fillId="0" borderId="4" xfId="0" applyFont="1" applyBorder="1"/>
    <xf numFmtId="0" fontId="6" fillId="0" borderId="0" xfId="0" applyFont="1" applyBorder="1"/>
    <xf numFmtId="0" fontId="6" fillId="0" borderId="5" xfId="0" applyFont="1" applyBorder="1" applyAlignment="1">
      <alignment horizontal="left"/>
    </xf>
    <xf numFmtId="0" fontId="6" fillId="0" borderId="6"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0" borderId="9" xfId="0" applyFont="1" applyBorder="1" applyAlignment="1">
      <alignment horizontal="left"/>
    </xf>
    <xf numFmtId="0" fontId="6" fillId="0" borderId="10" xfId="0" applyFont="1" applyBorder="1" applyAlignment="1">
      <alignment horizontal="left"/>
    </xf>
    <xf numFmtId="0" fontId="5" fillId="0" borderId="0" xfId="0" applyFont="1" applyBorder="1"/>
    <xf numFmtId="0" fontId="5" fillId="0" borderId="0" xfId="0" applyFont="1" applyBorder="1" applyAlignment="1">
      <alignment horizontal="centerContinuous"/>
    </xf>
    <xf numFmtId="0" fontId="6" fillId="0" borderId="11" xfId="0" applyFont="1" applyBorder="1" applyAlignment="1">
      <alignment horizontal="left"/>
    </xf>
    <xf numFmtId="0" fontId="6" fillId="0" borderId="12" xfId="0" applyFont="1" applyBorder="1" applyAlignment="1">
      <alignment horizontal="left"/>
    </xf>
    <xf numFmtId="0" fontId="6" fillId="2" borderId="4" xfId="0" applyFont="1" applyFill="1" applyBorder="1"/>
    <xf numFmtId="0" fontId="6" fillId="2" borderId="13" xfId="0" applyFont="1" applyFill="1" applyBorder="1"/>
    <xf numFmtId="0" fontId="6" fillId="2" borderId="14" xfId="0" applyFont="1" applyFill="1" applyBorder="1"/>
    <xf numFmtId="0" fontId="7" fillId="0" borderId="0" xfId="0" applyFont="1" applyFill="1" applyAlignment="1">
      <alignment horizontal="centerContinuous"/>
    </xf>
    <xf numFmtId="0" fontId="7" fillId="0" borderId="15" xfId="0" applyFont="1" applyFill="1" applyBorder="1" applyAlignment="1">
      <alignment horizontal="center"/>
    </xf>
    <xf numFmtId="0" fontId="8" fillId="0" borderId="14" xfId="0" applyFont="1" applyFill="1" applyBorder="1"/>
    <xf numFmtId="0" fontId="8" fillId="2" borderId="13" xfId="0" applyFont="1" applyFill="1" applyBorder="1"/>
    <xf numFmtId="0" fontId="8" fillId="0" borderId="13" xfId="0" applyFont="1" applyFill="1" applyBorder="1"/>
    <xf numFmtId="0" fontId="8" fillId="0" borderId="0" xfId="0" applyFont="1" applyFill="1"/>
    <xf numFmtId="0" fontId="8" fillId="2" borderId="14" xfId="0" applyFont="1" applyFill="1" applyBorder="1"/>
    <xf numFmtId="0" fontId="5" fillId="0" borderId="16" xfId="0" applyFont="1" applyBorder="1"/>
    <xf numFmtId="0" fontId="6" fillId="0" borderId="14" xfId="0" applyFont="1" applyBorder="1"/>
    <xf numFmtId="0" fontId="6" fillId="0" borderId="13" xfId="0" applyFont="1" applyBorder="1"/>
    <xf numFmtId="0" fontId="7" fillId="0" borderId="16" xfId="0" applyFont="1" applyFill="1" applyBorder="1" applyAlignment="1">
      <alignment horizontal="center"/>
    </xf>
    <xf numFmtId="0" fontId="8" fillId="0" borderId="15" xfId="0" applyFont="1" applyFill="1" applyBorder="1"/>
    <xf numFmtId="0" fontId="6" fillId="0" borderId="17" xfId="0" applyFont="1" applyBorder="1"/>
    <xf numFmtId="0" fontId="5" fillId="0" borderId="0" xfId="0" applyFont="1" applyBorder="1" applyAlignment="1">
      <alignment horizontal="center"/>
    </xf>
    <xf numFmtId="0" fontId="5" fillId="0" borderId="15" xfId="0" applyFont="1" applyBorder="1"/>
    <xf numFmtId="0" fontId="6" fillId="0" borderId="18" xfId="0" applyFont="1" applyBorder="1"/>
    <xf numFmtId="0" fontId="6" fillId="0" borderId="19" xfId="0" applyFont="1" applyBorder="1"/>
    <xf numFmtId="0" fontId="6" fillId="2" borderId="20" xfId="0" applyFont="1" applyFill="1" applyBorder="1"/>
    <xf numFmtId="0" fontId="6" fillId="2" borderId="21" xfId="0" applyFont="1" applyFill="1" applyBorder="1" applyAlignment="1">
      <alignment horizontal="left"/>
    </xf>
    <xf numFmtId="0" fontId="6" fillId="2" borderId="22" xfId="0" applyFont="1" applyFill="1" applyBorder="1" applyAlignment="1">
      <alignment horizontal="left"/>
    </xf>
    <xf numFmtId="0" fontId="6" fillId="2" borderId="23" xfId="0" applyFont="1" applyFill="1" applyBorder="1"/>
    <xf numFmtId="0" fontId="6" fillId="2" borderId="24" xfId="0" applyFont="1" applyFill="1" applyBorder="1"/>
    <xf numFmtId="0" fontId="6" fillId="2" borderId="25" xfId="0" applyFont="1" applyFill="1" applyBorder="1" applyAlignment="1">
      <alignment horizontal="left"/>
    </xf>
    <xf numFmtId="0" fontId="6" fillId="2" borderId="26" xfId="0" applyFont="1" applyFill="1" applyBorder="1" applyAlignment="1">
      <alignment horizontal="left"/>
    </xf>
    <xf numFmtId="0" fontId="5" fillId="2" borderId="1" xfId="0" applyFont="1" applyFill="1" applyBorder="1"/>
    <xf numFmtId="0" fontId="5" fillId="2" borderId="13" xfId="0" applyFont="1" applyFill="1" applyBorder="1"/>
    <xf numFmtId="0" fontId="5" fillId="2" borderId="3" xfId="0" applyFont="1" applyFill="1" applyBorder="1"/>
    <xf numFmtId="0" fontId="5" fillId="2" borderId="18" xfId="0" applyFont="1" applyFill="1" applyBorder="1"/>
    <xf numFmtId="0" fontId="5" fillId="2" borderId="19" xfId="0" applyFont="1" applyFill="1" applyBorder="1"/>
    <xf numFmtId="0" fontId="5" fillId="2" borderId="4" xfId="0" applyFont="1" applyFill="1" applyBorder="1"/>
    <xf numFmtId="0" fontId="8" fillId="0" borderId="27" xfId="0" applyFont="1" applyFill="1" applyBorder="1"/>
    <xf numFmtId="0" fontId="5" fillId="0" borderId="19" xfId="0" applyFont="1" applyBorder="1"/>
    <xf numFmtId="0" fontId="5" fillId="2" borderId="28" xfId="0" applyFont="1" applyFill="1" applyBorder="1"/>
    <xf numFmtId="0" fontId="5" fillId="2" borderId="29" xfId="0" applyFont="1" applyFill="1" applyBorder="1"/>
    <xf numFmtId="0" fontId="6" fillId="3" borderId="9" xfId="0" applyFont="1" applyFill="1" applyBorder="1" applyAlignment="1">
      <alignment horizontal="left"/>
    </xf>
    <xf numFmtId="0" fontId="6" fillId="3" borderId="10" xfId="0" applyFont="1" applyFill="1" applyBorder="1" applyAlignment="1">
      <alignment horizontal="left"/>
    </xf>
    <xf numFmtId="0" fontId="5" fillId="3" borderId="11" xfId="0" applyFont="1" applyFill="1" applyBorder="1" applyAlignment="1">
      <alignment horizontal="left"/>
    </xf>
    <xf numFmtId="0" fontId="5" fillId="3" borderId="12" xfId="0" applyFont="1" applyFill="1" applyBorder="1" applyAlignment="1">
      <alignment horizontal="left"/>
    </xf>
    <xf numFmtId="0" fontId="5" fillId="3" borderId="7" xfId="0" applyFont="1" applyFill="1" applyBorder="1" applyAlignment="1">
      <alignment horizontal="left"/>
    </xf>
    <xf numFmtId="0" fontId="5" fillId="3" borderId="8" xfId="0" applyFont="1" applyFill="1" applyBorder="1" applyAlignment="1">
      <alignment horizontal="left"/>
    </xf>
    <xf numFmtId="0" fontId="6" fillId="3" borderId="5" xfId="0" applyFont="1" applyFill="1" applyBorder="1" applyAlignment="1">
      <alignment horizontal="left"/>
    </xf>
    <xf numFmtId="0" fontId="6" fillId="3" borderId="6" xfId="0" applyFont="1" applyFill="1" applyBorder="1" applyAlignment="1">
      <alignment horizontal="left"/>
    </xf>
    <xf numFmtId="0" fontId="6" fillId="3" borderId="30" xfId="0" applyFont="1" applyFill="1" applyBorder="1" applyAlignment="1">
      <alignment horizontal="left"/>
    </xf>
    <xf numFmtId="0" fontId="6" fillId="3" borderId="31" xfId="0" applyFont="1" applyFill="1" applyBorder="1" applyAlignment="1">
      <alignment horizontal="left"/>
    </xf>
    <xf numFmtId="0" fontId="6" fillId="3" borderId="7" xfId="0" applyFont="1" applyFill="1" applyBorder="1" applyAlignment="1">
      <alignment horizontal="left"/>
    </xf>
    <xf numFmtId="0" fontId="6" fillId="3" borderId="8" xfId="0" applyFont="1" applyFill="1" applyBorder="1" applyAlignment="1">
      <alignment horizontal="left"/>
    </xf>
    <xf numFmtId="0" fontId="6" fillId="3" borderId="11" xfId="0" applyFont="1" applyFill="1" applyBorder="1" applyAlignment="1">
      <alignment horizontal="left"/>
    </xf>
    <xf numFmtId="0" fontId="6" fillId="3" borderId="12" xfId="0" applyFont="1" applyFill="1" applyBorder="1" applyAlignment="1">
      <alignment horizontal="left"/>
    </xf>
    <xf numFmtId="0" fontId="5" fillId="2" borderId="32" xfId="0" applyFont="1" applyFill="1" applyBorder="1"/>
    <xf numFmtId="0" fontId="5" fillId="2" borderId="2" xfId="0" applyFont="1" applyFill="1" applyBorder="1"/>
    <xf numFmtId="0" fontId="5" fillId="3" borderId="9" xfId="0" applyFont="1" applyFill="1" applyBorder="1" applyAlignment="1">
      <alignment horizontal="left"/>
    </xf>
    <xf numFmtId="0" fontId="5" fillId="3" borderId="10" xfId="0" applyFont="1" applyFill="1" applyBorder="1" applyAlignment="1">
      <alignment horizontal="left"/>
    </xf>
    <xf numFmtId="0" fontId="5" fillId="0" borderId="13" xfId="0" applyFont="1" applyBorder="1" applyAlignment="1">
      <alignment horizontal="left" wrapText="1"/>
    </xf>
    <xf numFmtId="0" fontId="5" fillId="0" borderId="13" xfId="0" applyFont="1" applyBorder="1"/>
    <xf numFmtId="0" fontId="5" fillId="0" borderId="18" xfId="0" applyFont="1" applyBorder="1"/>
    <xf numFmtId="0" fontId="9" fillId="0" borderId="19" xfId="0" applyFont="1" applyBorder="1"/>
    <xf numFmtId="0" fontId="6" fillId="0" borderId="16" xfId="0" applyFont="1" applyBorder="1"/>
    <xf numFmtId="0" fontId="9" fillId="0" borderId="0" xfId="0" applyFont="1" applyBorder="1"/>
    <xf numFmtId="0" fontId="10" fillId="0" borderId="3" xfId="0" applyFont="1" applyBorder="1"/>
    <xf numFmtId="0" fontId="5" fillId="2" borderId="27" xfId="0" applyFont="1" applyFill="1" applyBorder="1" applyProtection="1">
      <protection locked="0"/>
    </xf>
    <xf numFmtId="0" fontId="7" fillId="2" borderId="23" xfId="0" applyFont="1" applyFill="1" applyBorder="1"/>
    <xf numFmtId="0" fontId="7" fillId="2" borderId="13" xfId="0" applyFont="1" applyFill="1" applyBorder="1"/>
    <xf numFmtId="0" fontId="7" fillId="2" borderId="14" xfId="0" applyFont="1" applyFill="1" applyBorder="1"/>
    <xf numFmtId="0" fontId="7" fillId="2" borderId="18" xfId="0" applyFont="1" applyFill="1" applyBorder="1"/>
    <xf numFmtId="0" fontId="9" fillId="0" borderId="18" xfId="0" applyFont="1" applyBorder="1"/>
    <xf numFmtId="0" fontId="9" fillId="0" borderId="11" xfId="0" applyFont="1" applyBorder="1" applyAlignment="1">
      <alignment horizontal="left"/>
    </xf>
    <xf numFmtId="0" fontId="9" fillId="0" borderId="12" xfId="0" applyFont="1" applyBorder="1" applyAlignment="1">
      <alignment horizontal="left"/>
    </xf>
    <xf numFmtId="0" fontId="9" fillId="0" borderId="0" xfId="0" applyFont="1"/>
    <xf numFmtId="0" fontId="6" fillId="0" borderId="14" xfId="0" applyFont="1" applyFill="1" applyBorder="1"/>
    <xf numFmtId="0" fontId="6" fillId="0" borderId="4" xfId="0" applyFont="1" applyFill="1" applyBorder="1"/>
    <xf numFmtId="0" fontId="6" fillId="0" borderId="7" xfId="0" applyFont="1" applyFill="1" applyBorder="1" applyAlignment="1">
      <alignment horizontal="left"/>
    </xf>
    <xf numFmtId="0" fontId="6" fillId="0" borderId="8" xfId="0" applyFont="1" applyFill="1" applyBorder="1" applyAlignment="1">
      <alignment horizontal="left"/>
    </xf>
    <xf numFmtId="0" fontId="6" fillId="0" borderId="0" xfId="0" applyFont="1" applyFill="1"/>
    <xf numFmtId="0" fontId="8" fillId="0" borderId="0" xfId="0" applyFont="1" applyFill="1" applyBorder="1"/>
    <xf numFmtId="0" fontId="6" fillId="0" borderId="0" xfId="0" applyFont="1" applyFill="1" applyBorder="1"/>
    <xf numFmtId="0" fontId="6" fillId="0" borderId="0" xfId="0" applyFont="1" applyFill="1" applyBorder="1" applyAlignment="1">
      <alignment horizontal="left"/>
    </xf>
    <xf numFmtId="0" fontId="8" fillId="0" borderId="33" xfId="0" applyFont="1" applyFill="1" applyBorder="1"/>
    <xf numFmtId="0" fontId="6" fillId="0" borderId="9" xfId="0" applyFont="1" applyFill="1" applyBorder="1" applyAlignment="1">
      <alignment horizontal="left"/>
    </xf>
    <xf numFmtId="0" fontId="6" fillId="0" borderId="10" xfId="0" applyFont="1" applyFill="1" applyBorder="1" applyAlignment="1">
      <alignment horizontal="left"/>
    </xf>
    <xf numFmtId="0" fontId="11" fillId="0" borderId="3" xfId="0" applyFont="1" applyBorder="1"/>
    <xf numFmtId="0" fontId="6" fillId="0" borderId="13" xfId="0" applyFont="1" applyFill="1" applyBorder="1"/>
    <xf numFmtId="0" fontId="10" fillId="0" borderId="3" xfId="0" applyFont="1" applyFill="1" applyBorder="1"/>
    <xf numFmtId="0" fontId="6" fillId="0" borderId="3" xfId="0" applyFont="1" applyFill="1" applyBorder="1"/>
    <xf numFmtId="0" fontId="5" fillId="2" borderId="4" xfId="0" applyFont="1" applyFill="1" applyBorder="1" applyAlignment="1">
      <alignment horizontal="left"/>
    </xf>
    <xf numFmtId="0" fontId="7" fillId="2" borderId="18" xfId="0" applyFont="1" applyFill="1" applyBorder="1" applyAlignment="1">
      <alignment horizontal="left"/>
    </xf>
    <xf numFmtId="0" fontId="6" fillId="2" borderId="19" xfId="0" applyFont="1" applyFill="1" applyBorder="1"/>
    <xf numFmtId="0" fontId="6" fillId="2" borderId="28" xfId="0" applyFont="1" applyFill="1" applyBorder="1"/>
    <xf numFmtId="0" fontId="6" fillId="2" borderId="34" xfId="0" applyFont="1" applyFill="1" applyBorder="1"/>
    <xf numFmtId="0" fontId="5" fillId="2" borderId="34" xfId="0" applyFont="1" applyFill="1" applyBorder="1"/>
    <xf numFmtId="0" fontId="7" fillId="2" borderId="35" xfId="0" applyFont="1" applyFill="1" applyBorder="1"/>
    <xf numFmtId="0" fontId="5" fillId="2" borderId="35" xfId="0" applyFont="1" applyFill="1" applyBorder="1"/>
    <xf numFmtId="0" fontId="5" fillId="2" borderId="36" xfId="0" applyFont="1" applyFill="1" applyBorder="1"/>
    <xf numFmtId="0" fontId="5" fillId="3" borderId="21" xfId="0" applyFont="1" applyFill="1" applyBorder="1" applyAlignment="1">
      <alignment horizontal="left"/>
    </xf>
    <xf numFmtId="0" fontId="5" fillId="3" borderId="22" xfId="0" applyFont="1" applyFill="1" applyBorder="1" applyAlignment="1">
      <alignment horizontal="left"/>
    </xf>
    <xf numFmtId="0" fontId="6" fillId="3" borderId="21" xfId="0" applyFont="1" applyFill="1" applyBorder="1" applyAlignment="1">
      <alignment horizontal="left"/>
    </xf>
    <xf numFmtId="0" fontId="6" fillId="3" borderId="22" xfId="0" applyFont="1" applyFill="1" applyBorder="1" applyAlignment="1">
      <alignment horizontal="left"/>
    </xf>
    <xf numFmtId="0" fontId="5" fillId="2" borderId="37" xfId="0" applyFont="1" applyFill="1" applyBorder="1"/>
    <xf numFmtId="0" fontId="6" fillId="2" borderId="38" xfId="0" applyFont="1" applyFill="1" applyBorder="1"/>
    <xf numFmtId="0" fontId="6" fillId="2" borderId="35" xfId="0" applyFont="1" applyFill="1" applyBorder="1"/>
    <xf numFmtId="0" fontId="8" fillId="2" borderId="39" xfId="0" applyFont="1" applyFill="1" applyBorder="1"/>
    <xf numFmtId="0" fontId="6" fillId="2" borderId="40" xfId="0" applyFont="1" applyFill="1" applyBorder="1" applyAlignment="1">
      <alignment horizontal="left"/>
    </xf>
    <xf numFmtId="0" fontId="6" fillId="2" borderId="41" xfId="0" applyFont="1" applyFill="1" applyBorder="1" applyAlignment="1">
      <alignment horizontal="left"/>
    </xf>
    <xf numFmtId="0" fontId="7" fillId="2" borderId="37" xfId="0" applyFont="1" applyFill="1" applyBorder="1"/>
    <xf numFmtId="0" fontId="5" fillId="2" borderId="42" xfId="0" applyFont="1" applyFill="1" applyBorder="1"/>
    <xf numFmtId="0" fontId="5" fillId="2" borderId="38" xfId="0" applyFont="1" applyFill="1" applyBorder="1"/>
    <xf numFmtId="0" fontId="5" fillId="2" borderId="14" xfId="0" applyFont="1" applyFill="1" applyBorder="1"/>
    <xf numFmtId="0" fontId="6" fillId="0" borderId="11" xfId="0" applyFont="1" applyFill="1" applyBorder="1" applyAlignment="1">
      <alignment horizontal="left"/>
    </xf>
    <xf numFmtId="0" fontId="6" fillId="0" borderId="12" xfId="0" applyFont="1" applyFill="1" applyBorder="1" applyAlignment="1">
      <alignment horizontal="left"/>
    </xf>
    <xf numFmtId="0" fontId="6" fillId="3" borderId="43" xfId="0" applyFont="1" applyFill="1" applyBorder="1" applyAlignment="1">
      <alignment horizontal="left"/>
    </xf>
    <xf numFmtId="0" fontId="6" fillId="3" borderId="44" xfId="0" applyFont="1" applyFill="1" applyBorder="1" applyAlignment="1">
      <alignment horizontal="left"/>
    </xf>
    <xf numFmtId="8" fontId="12" fillId="0" borderId="53" xfId="0" applyNumberFormat="1" applyFont="1" applyBorder="1"/>
    <xf numFmtId="8" fontId="12" fillId="0" borderId="54" xfId="0" applyNumberFormat="1" applyFont="1" applyBorder="1"/>
    <xf numFmtId="8" fontId="12" fillId="0" borderId="28" xfId="0" applyNumberFormat="1" applyFont="1" applyBorder="1"/>
    <xf numFmtId="8" fontId="12" fillId="0" borderId="12" xfId="0" applyNumberFormat="1" applyFont="1" applyBorder="1"/>
    <xf numFmtId="8" fontId="4" fillId="3" borderId="11" xfId="0" applyNumberFormat="1" applyFont="1" applyFill="1" applyBorder="1"/>
    <xf numFmtId="8" fontId="4" fillId="3" borderId="54" xfId="0" applyNumberFormat="1" applyFont="1" applyFill="1" applyBorder="1"/>
    <xf numFmtId="8" fontId="4" fillId="3" borderId="12" xfId="0" applyNumberFormat="1" applyFont="1" applyFill="1" applyBorder="1"/>
    <xf numFmtId="8" fontId="4" fillId="3" borderId="7" xfId="0" applyNumberFormat="1" applyFont="1" applyFill="1" applyBorder="1"/>
    <xf numFmtId="8" fontId="4" fillId="3" borderId="49" xfId="0" applyNumberFormat="1" applyFont="1" applyFill="1" applyBorder="1"/>
    <xf numFmtId="8" fontId="4" fillId="3" borderId="8" xfId="0" applyNumberFormat="1" applyFont="1" applyFill="1" applyBorder="1"/>
    <xf numFmtId="8" fontId="4" fillId="3" borderId="9" xfId="0" applyNumberFormat="1" applyFont="1" applyFill="1" applyBorder="1"/>
    <xf numFmtId="8" fontId="4" fillId="3" borderId="51" xfId="0" applyNumberFormat="1" applyFont="1" applyFill="1" applyBorder="1"/>
    <xf numFmtId="8" fontId="4" fillId="3" borderId="10" xfId="0" applyNumberFormat="1" applyFont="1" applyFill="1" applyBorder="1"/>
    <xf numFmtId="8" fontId="4" fillId="3" borderId="21" xfId="0" applyNumberFormat="1" applyFont="1" applyFill="1" applyBorder="1"/>
    <xf numFmtId="8" fontId="4" fillId="3" borderId="58" xfId="0" applyNumberFormat="1" applyFont="1" applyFill="1" applyBorder="1"/>
    <xf numFmtId="8" fontId="4" fillId="3" borderId="22" xfId="0" applyNumberFormat="1" applyFont="1" applyFill="1" applyBorder="1"/>
    <xf numFmtId="0" fontId="6" fillId="3" borderId="62" xfId="0" applyFont="1" applyFill="1" applyBorder="1" applyAlignment="1">
      <alignment horizontal="left"/>
    </xf>
    <xf numFmtId="0" fontId="6" fillId="3" borderId="63" xfId="0" applyFont="1" applyFill="1" applyBorder="1" applyAlignment="1">
      <alignment horizontal="left"/>
    </xf>
    <xf numFmtId="0" fontId="6" fillId="0" borderId="63" xfId="0" applyFont="1" applyBorder="1" applyAlignment="1">
      <alignment horizontal="left"/>
    </xf>
    <xf numFmtId="0" fontId="6" fillId="3" borderId="64" xfId="0" applyFont="1" applyFill="1" applyBorder="1" applyAlignment="1">
      <alignment horizontal="left"/>
    </xf>
    <xf numFmtId="0" fontId="9" fillId="0" borderId="64" xfId="0" applyFont="1" applyBorder="1" applyAlignment="1">
      <alignment horizontal="left"/>
    </xf>
    <xf numFmtId="0" fontId="6" fillId="0" borderId="64" xfId="0" applyFont="1" applyBorder="1" applyAlignment="1">
      <alignment horizontal="left"/>
    </xf>
    <xf numFmtId="0" fontId="6" fillId="2" borderId="65" xfId="0" applyFont="1" applyFill="1" applyBorder="1" applyAlignment="1">
      <alignment horizontal="left"/>
    </xf>
    <xf numFmtId="0" fontId="6" fillId="0" borderId="62" xfId="0" applyFont="1" applyFill="1" applyBorder="1" applyAlignment="1">
      <alignment horizontal="left"/>
    </xf>
    <xf numFmtId="0" fontId="6" fillId="0" borderId="64" xfId="0" applyFont="1" applyFill="1" applyBorder="1" applyAlignment="1">
      <alignment horizontal="left"/>
    </xf>
    <xf numFmtId="0" fontId="6" fillId="2" borderId="66" xfId="0" applyFont="1" applyFill="1" applyBorder="1" applyAlignment="1">
      <alignment horizontal="left"/>
    </xf>
    <xf numFmtId="0" fontId="6" fillId="0" borderId="67" xfId="0" applyFont="1" applyBorder="1" applyAlignment="1">
      <alignment horizontal="left"/>
    </xf>
    <xf numFmtId="0" fontId="5" fillId="3" borderId="64" xfId="0" applyFont="1" applyFill="1" applyBorder="1" applyAlignment="1">
      <alignment horizontal="left"/>
    </xf>
    <xf numFmtId="0" fontId="5" fillId="3" borderId="62" xfId="0" applyFont="1" applyFill="1" applyBorder="1" applyAlignment="1">
      <alignment horizontal="left"/>
    </xf>
    <xf numFmtId="0" fontId="5" fillId="3" borderId="63" xfId="0" applyFont="1" applyFill="1" applyBorder="1" applyAlignment="1">
      <alignment horizontal="left"/>
    </xf>
    <xf numFmtId="0" fontId="6" fillId="0" borderId="62" xfId="0" applyFont="1" applyBorder="1" applyAlignment="1">
      <alignment horizontal="left"/>
    </xf>
    <xf numFmtId="0" fontId="6" fillId="3" borderId="67" xfId="0" applyFont="1" applyFill="1" applyBorder="1" applyAlignment="1">
      <alignment horizontal="left"/>
    </xf>
    <xf numFmtId="0" fontId="6" fillId="0" borderId="63" xfId="0" applyFont="1" applyFill="1" applyBorder="1" applyAlignment="1">
      <alignment horizontal="left"/>
    </xf>
    <xf numFmtId="0" fontId="6" fillId="3" borderId="66" xfId="0" applyFont="1" applyFill="1" applyBorder="1" applyAlignment="1">
      <alignment horizontal="left"/>
    </xf>
    <xf numFmtId="0" fontId="6" fillId="3" borderId="68" xfId="0" applyFont="1" applyFill="1" applyBorder="1" applyAlignment="1">
      <alignment horizontal="left"/>
    </xf>
    <xf numFmtId="0" fontId="6" fillId="2" borderId="69" xfId="0" applyFont="1" applyFill="1" applyBorder="1" applyAlignment="1">
      <alignment horizontal="left"/>
    </xf>
    <xf numFmtId="0" fontId="5" fillId="3" borderId="66" xfId="0" applyFont="1" applyFill="1" applyBorder="1" applyAlignment="1">
      <alignment horizontal="left"/>
    </xf>
    <xf numFmtId="0" fontId="6" fillId="0" borderId="37" xfId="0" applyFont="1" applyBorder="1"/>
    <xf numFmtId="0" fontId="6" fillId="0" borderId="37" xfId="0" applyFont="1" applyBorder="1" applyAlignment="1">
      <alignment horizontal="left"/>
    </xf>
    <xf numFmtId="0" fontId="6" fillId="0" borderId="0" xfId="0" applyFont="1" applyBorder="1" applyAlignment="1">
      <alignment horizontal="left"/>
    </xf>
    <xf numFmtId="0" fontId="7" fillId="0" borderId="70" xfId="0" applyFont="1" applyFill="1" applyBorder="1" applyAlignment="1">
      <alignment horizontal="center"/>
    </xf>
    <xf numFmtId="0" fontId="7" fillId="0" borderId="17" xfId="0" applyFont="1" applyBorder="1" applyAlignment="1">
      <alignment horizontal="center" vertical="center" wrapText="1"/>
    </xf>
    <xf numFmtId="0" fontId="7" fillId="0" borderId="71" xfId="0" applyFont="1" applyFill="1" applyBorder="1" applyAlignment="1">
      <alignment horizontal="center"/>
    </xf>
    <xf numFmtId="0" fontId="7" fillId="0" borderId="72" xfId="0" applyFont="1" applyBorder="1" applyAlignment="1">
      <alignment horizontal="center" vertical="center" wrapText="1"/>
    </xf>
    <xf numFmtId="8" fontId="6" fillId="2" borderId="7" xfId="0" applyNumberFormat="1" applyFont="1" applyFill="1" applyBorder="1" applyAlignment="1">
      <alignment horizontal="right"/>
    </xf>
    <xf numFmtId="0" fontId="6" fillId="2" borderId="4" xfId="0" applyFont="1" applyFill="1" applyBorder="1" applyAlignment="1">
      <alignment horizontal="left"/>
    </xf>
    <xf numFmtId="0" fontId="6" fillId="2" borderId="8" xfId="0" applyFont="1" applyFill="1" applyBorder="1" applyAlignment="1">
      <alignment horizontal="left"/>
    </xf>
    <xf numFmtId="8" fontId="6" fillId="0" borderId="9" xfId="0" applyNumberFormat="1" applyFont="1" applyBorder="1" applyAlignment="1">
      <alignment horizontal="right"/>
    </xf>
    <xf numFmtId="0" fontId="6" fillId="0" borderId="3" xfId="0" applyFont="1" applyBorder="1" applyAlignment="1">
      <alignment horizontal="left"/>
    </xf>
    <xf numFmtId="8" fontId="6" fillId="2" borderId="9" xfId="0" applyNumberFormat="1" applyFont="1" applyFill="1" applyBorder="1" applyAlignment="1">
      <alignment horizontal="right"/>
    </xf>
    <xf numFmtId="0" fontId="6" fillId="2" borderId="3" xfId="0" applyFont="1" applyFill="1" applyBorder="1" applyAlignment="1">
      <alignment horizontal="left"/>
    </xf>
    <xf numFmtId="0" fontId="6" fillId="2" borderId="10" xfId="0" applyFont="1" applyFill="1" applyBorder="1" applyAlignment="1">
      <alignment horizontal="left"/>
    </xf>
    <xf numFmtId="0" fontId="5" fillId="0" borderId="13" xfId="0" applyFont="1" applyFill="1" applyBorder="1"/>
    <xf numFmtId="8" fontId="6" fillId="0" borderId="9" xfId="0" applyNumberFormat="1" applyFont="1" applyFill="1" applyBorder="1" applyAlignment="1">
      <alignment horizontal="right"/>
    </xf>
    <xf numFmtId="0" fontId="6" fillId="0" borderId="3" xfId="0" applyFont="1" applyFill="1" applyBorder="1" applyAlignment="1">
      <alignment horizontal="left"/>
    </xf>
    <xf numFmtId="0" fontId="0" fillId="0" borderId="0" xfId="0" applyFill="1"/>
    <xf numFmtId="0" fontId="6" fillId="2" borderId="18" xfId="0" applyFont="1" applyFill="1" applyBorder="1"/>
    <xf numFmtId="8" fontId="6" fillId="2" borderId="11" xfId="0" applyNumberFormat="1" applyFont="1" applyFill="1" applyBorder="1" applyAlignment="1">
      <alignment horizontal="right"/>
    </xf>
    <xf numFmtId="0" fontId="6" fillId="2" borderId="19" xfId="0" applyFont="1" applyFill="1" applyBorder="1" applyAlignment="1">
      <alignment horizontal="left"/>
    </xf>
    <xf numFmtId="0" fontId="6" fillId="2" borderId="12" xfId="0" applyFont="1" applyFill="1" applyBorder="1" applyAlignment="1">
      <alignment horizontal="left"/>
    </xf>
    <xf numFmtId="8" fontId="6" fillId="0" borderId="11" xfId="0" applyNumberFormat="1" applyFont="1" applyBorder="1" applyAlignment="1">
      <alignment horizontal="right"/>
    </xf>
    <xf numFmtId="0" fontId="6" fillId="0" borderId="19" xfId="0" applyFont="1" applyBorder="1" applyAlignment="1">
      <alignment horizontal="left"/>
    </xf>
    <xf numFmtId="0" fontId="6" fillId="2" borderId="73" xfId="0" applyFont="1" applyFill="1" applyBorder="1"/>
    <xf numFmtId="0" fontId="5" fillId="2" borderId="74" xfId="0" applyFont="1" applyFill="1" applyBorder="1"/>
    <xf numFmtId="0" fontId="6" fillId="2" borderId="74" xfId="0" applyFont="1" applyFill="1" applyBorder="1"/>
    <xf numFmtId="8" fontId="6" fillId="2" borderId="75" xfId="0" applyNumberFormat="1" applyFont="1" applyFill="1" applyBorder="1" applyAlignment="1">
      <alignment horizontal="right"/>
    </xf>
    <xf numFmtId="0" fontId="6" fillId="2" borderId="74" xfId="0" applyFont="1" applyFill="1" applyBorder="1" applyAlignment="1">
      <alignment horizontal="left"/>
    </xf>
    <xf numFmtId="0" fontId="6" fillId="2" borderId="76" xfId="0" applyFont="1" applyFill="1" applyBorder="1" applyAlignment="1">
      <alignment horizontal="left"/>
    </xf>
    <xf numFmtId="0" fontId="8" fillId="0" borderId="13" xfId="0" applyFont="1" applyFill="1" applyBorder="1" applyAlignment="1">
      <alignment horizontal="center"/>
    </xf>
    <xf numFmtId="0" fontId="8" fillId="2" borderId="13" xfId="0" applyFont="1" applyFill="1" applyBorder="1" applyAlignment="1">
      <alignment horizontal="center"/>
    </xf>
    <xf numFmtId="0" fontId="8" fillId="0" borderId="18" xfId="0" applyFont="1" applyFill="1" applyBorder="1" applyAlignment="1">
      <alignment horizontal="center"/>
    </xf>
    <xf numFmtId="0" fontId="8" fillId="0" borderId="73" xfId="0" applyFont="1" applyFill="1" applyBorder="1" applyAlignment="1">
      <alignment horizontal="center"/>
    </xf>
    <xf numFmtId="0" fontId="9" fillId="0" borderId="18" xfId="0" applyFont="1" applyFill="1" applyBorder="1" applyAlignment="1">
      <alignment horizontal="center"/>
    </xf>
    <xf numFmtId="0" fontId="8" fillId="2" borderId="23" xfId="0" applyFont="1" applyFill="1" applyBorder="1" applyAlignment="1">
      <alignment horizontal="center"/>
    </xf>
    <xf numFmtId="0" fontId="8" fillId="2" borderId="14" xfId="0" applyFont="1" applyFill="1" applyBorder="1" applyAlignment="1">
      <alignment horizontal="center"/>
    </xf>
    <xf numFmtId="0" fontId="8" fillId="2" borderId="27" xfId="0" applyFont="1" applyFill="1" applyBorder="1" applyAlignment="1">
      <alignment horizontal="center"/>
    </xf>
    <xf numFmtId="0" fontId="8" fillId="0" borderId="14" xfId="0" applyFont="1" applyFill="1" applyBorder="1" applyAlignment="1">
      <alignment horizontal="center"/>
    </xf>
    <xf numFmtId="0" fontId="8" fillId="2" borderId="20" xfId="0" applyFont="1" applyFill="1" applyBorder="1" applyAlignment="1">
      <alignment horizontal="center"/>
    </xf>
    <xf numFmtId="0" fontId="8" fillId="0" borderId="0" xfId="0" applyFont="1" applyFill="1" applyAlignment="1">
      <alignment horizontal="center"/>
    </xf>
    <xf numFmtId="0" fontId="8" fillId="0" borderId="77" xfId="0" applyFont="1" applyFill="1" applyBorder="1" applyAlignment="1">
      <alignment horizontal="center"/>
    </xf>
    <xf numFmtId="0" fontId="8" fillId="0" borderId="78" xfId="0" applyFont="1" applyFill="1" applyBorder="1" applyAlignment="1">
      <alignment horizontal="center"/>
    </xf>
    <xf numFmtId="0" fontId="7" fillId="0" borderId="77" xfId="0" applyFont="1" applyFill="1" applyBorder="1" applyAlignment="1">
      <alignment horizontal="center"/>
    </xf>
    <xf numFmtId="0" fontId="8" fillId="0" borderId="27" xfId="0" applyFont="1" applyFill="1" applyBorder="1" applyAlignment="1">
      <alignment horizontal="center"/>
    </xf>
    <xf numFmtId="0" fontId="8" fillId="2" borderId="79" xfId="0" applyFont="1" applyFill="1" applyBorder="1" applyAlignment="1">
      <alignment horizontal="center"/>
    </xf>
    <xf numFmtId="0" fontId="7" fillId="0" borderId="78" xfId="0" applyFont="1" applyFill="1" applyBorder="1" applyAlignment="1">
      <alignment horizontal="center"/>
    </xf>
    <xf numFmtId="0" fontId="7" fillId="0" borderId="80" xfId="0" applyFont="1" applyFill="1" applyBorder="1" applyAlignment="1">
      <alignment horizontal="center"/>
    </xf>
    <xf numFmtId="0" fontId="8" fillId="2" borderId="32" xfId="0" applyFont="1" applyFill="1" applyBorder="1" applyAlignment="1">
      <alignment horizontal="center"/>
    </xf>
    <xf numFmtId="0" fontId="8" fillId="0" borderId="80" xfId="0" applyFont="1" applyFill="1" applyBorder="1" applyAlignment="1">
      <alignment horizontal="center"/>
    </xf>
    <xf numFmtId="0" fontId="6" fillId="2" borderId="32" xfId="0" applyFont="1" applyFill="1" applyBorder="1" applyAlignment="1">
      <alignment horizontal="center"/>
    </xf>
    <xf numFmtId="0" fontId="6" fillId="2" borderId="34" xfId="0" applyFont="1" applyFill="1" applyBorder="1" applyAlignment="1">
      <alignment horizontal="center"/>
    </xf>
    <xf numFmtId="0" fontId="8" fillId="2" borderId="39" xfId="0" applyFont="1" applyFill="1" applyBorder="1" applyAlignment="1">
      <alignment horizontal="center"/>
    </xf>
    <xf numFmtId="0" fontId="8" fillId="0" borderId="33" xfId="0" applyFont="1" applyFill="1" applyBorder="1" applyAlignment="1">
      <alignment horizontal="center"/>
    </xf>
    <xf numFmtId="0" fontId="5" fillId="2" borderId="32" xfId="0" applyFont="1" applyFill="1" applyBorder="1" applyAlignment="1">
      <alignment horizontal="left"/>
    </xf>
    <xf numFmtId="0" fontId="6" fillId="0" borderId="0" xfId="0" applyFont="1" applyAlignment="1">
      <alignment horizontal="right"/>
    </xf>
    <xf numFmtId="0" fontId="8"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xf numFmtId="0" fontId="9" fillId="0" borderId="0" xfId="0" applyFont="1" applyFill="1" applyBorder="1"/>
    <xf numFmtId="8" fontId="12" fillId="0" borderId="0" xfId="0" applyNumberFormat="1" applyFont="1" applyFill="1" applyBorder="1"/>
    <xf numFmtId="8" fontId="4" fillId="0" borderId="0" xfId="0" applyNumberFormat="1" applyFont="1" applyFill="1" applyBorder="1"/>
    <xf numFmtId="0" fontId="6" fillId="3" borderId="81" xfId="0" applyFont="1" applyFill="1" applyBorder="1" applyAlignment="1">
      <alignment horizontal="left"/>
    </xf>
    <xf numFmtId="0" fontId="5" fillId="0" borderId="0" xfId="0" applyFont="1" applyFill="1" applyAlignment="1"/>
    <xf numFmtId="0" fontId="8" fillId="2" borderId="82" xfId="0" applyFont="1" applyFill="1" applyBorder="1" applyAlignment="1">
      <alignment horizontal="center"/>
    </xf>
    <xf numFmtId="0" fontId="6" fillId="2" borderId="82" xfId="0" applyFont="1" applyFill="1" applyBorder="1"/>
    <xf numFmtId="0" fontId="6" fillId="2" borderId="83" xfId="0" applyFont="1" applyFill="1" applyBorder="1"/>
    <xf numFmtId="0" fontId="6" fillId="2" borderId="84" xfId="0" applyFont="1" applyFill="1" applyBorder="1" applyAlignment="1">
      <alignment horizontal="left"/>
    </xf>
    <xf numFmtId="0" fontId="6" fillId="2" borderId="85" xfId="0" applyFont="1" applyFill="1" applyBorder="1" applyAlignment="1">
      <alignment horizontal="left"/>
    </xf>
    <xf numFmtId="0" fontId="8" fillId="2" borderId="86" xfId="0" applyFont="1" applyFill="1" applyBorder="1" applyAlignment="1">
      <alignment horizontal="center"/>
    </xf>
    <xf numFmtId="0" fontId="6" fillId="2" borderId="86" xfId="0" applyFont="1" applyFill="1" applyBorder="1"/>
    <xf numFmtId="0" fontId="6" fillId="2" borderId="87" xfId="0" applyFont="1" applyFill="1" applyBorder="1"/>
    <xf numFmtId="0" fontId="6" fillId="3" borderId="88" xfId="0" applyFont="1" applyFill="1" applyBorder="1" applyAlignment="1">
      <alignment horizontal="left"/>
    </xf>
    <xf numFmtId="0" fontId="6" fillId="3" borderId="89" xfId="0" applyFont="1" applyFill="1" applyBorder="1" applyAlignment="1">
      <alignment horizontal="left"/>
    </xf>
    <xf numFmtId="0" fontId="8" fillId="2" borderId="71" xfId="0" applyFont="1" applyFill="1" applyBorder="1" applyAlignment="1">
      <alignment horizontal="center"/>
    </xf>
    <xf numFmtId="0" fontId="5" fillId="2" borderId="90" xfId="0" applyFont="1" applyFill="1" applyBorder="1"/>
    <xf numFmtId="0" fontId="7" fillId="2" borderId="72" xfId="0" applyFont="1" applyFill="1" applyBorder="1"/>
    <xf numFmtId="0" fontId="5" fillId="2" borderId="72" xfId="0" applyFont="1" applyFill="1" applyBorder="1"/>
    <xf numFmtId="0" fontId="6" fillId="2" borderId="91" xfId="0" applyFont="1" applyFill="1" applyBorder="1" applyAlignment="1">
      <alignment horizontal="left"/>
    </xf>
    <xf numFmtId="0" fontId="6" fillId="2" borderId="92" xfId="0" applyFont="1" applyFill="1" applyBorder="1" applyAlignment="1">
      <alignment horizontal="left"/>
    </xf>
    <xf numFmtId="42" fontId="5" fillId="0" borderId="0" xfId="0" applyNumberFormat="1" applyFont="1" applyAlignment="1">
      <alignment horizontal="right"/>
    </xf>
    <xf numFmtId="42" fontId="6" fillId="0" borderId="0" xfId="0" applyNumberFormat="1" applyFont="1" applyFill="1" applyBorder="1" applyAlignment="1">
      <alignment horizontal="right"/>
    </xf>
    <xf numFmtId="42" fontId="6" fillId="0" borderId="0" xfId="0" applyNumberFormat="1" applyFont="1" applyAlignment="1">
      <alignment horizontal="right"/>
    </xf>
    <xf numFmtId="0" fontId="6" fillId="3" borderId="80" xfId="0" applyFont="1" applyFill="1" applyBorder="1" applyAlignment="1">
      <alignment horizontal="left"/>
    </xf>
    <xf numFmtId="0" fontId="6" fillId="3" borderId="27" xfId="0" applyFont="1" applyFill="1" applyBorder="1" applyAlignment="1">
      <alignment horizontal="left"/>
    </xf>
    <xf numFmtId="0" fontId="6" fillId="0" borderId="27" xfId="0" applyFont="1" applyBorder="1" applyAlignment="1">
      <alignment horizontal="left"/>
    </xf>
    <xf numFmtId="0" fontId="6" fillId="0" borderId="78" xfId="0" applyFont="1" applyBorder="1" applyAlignment="1">
      <alignment horizontal="left"/>
    </xf>
    <xf numFmtId="0" fontId="9" fillId="0" borderId="78" xfId="0" applyFont="1" applyBorder="1" applyAlignment="1">
      <alignment horizontal="left"/>
    </xf>
    <xf numFmtId="0" fontId="6" fillId="2" borderId="79" xfId="0" applyFont="1" applyFill="1" applyBorder="1" applyAlignment="1">
      <alignment horizontal="left"/>
    </xf>
    <xf numFmtId="49" fontId="9" fillId="0" borderId="78" xfId="0" applyNumberFormat="1" applyFont="1" applyBorder="1" applyAlignment="1">
      <alignment horizontal="left"/>
    </xf>
    <xf numFmtId="49" fontId="7" fillId="0" borderId="0" xfId="0" applyNumberFormat="1" applyFont="1" applyAlignment="1">
      <alignment horizontal="centerContinuous"/>
    </xf>
    <xf numFmtId="49" fontId="8" fillId="3" borderId="70" xfId="0" applyNumberFormat="1" applyFont="1" applyFill="1" applyBorder="1" applyAlignment="1">
      <alignment horizontal="left"/>
    </xf>
    <xf numFmtId="49" fontId="8" fillId="3" borderId="80" xfId="0" applyNumberFormat="1" applyFont="1" applyFill="1" applyBorder="1" applyAlignment="1">
      <alignment horizontal="left"/>
    </xf>
    <xf numFmtId="49" fontId="8" fillId="3" borderId="27" xfId="0" applyNumberFormat="1" applyFont="1" applyFill="1" applyBorder="1" applyAlignment="1">
      <alignment horizontal="left"/>
    </xf>
    <xf numFmtId="49" fontId="8" fillId="0" borderId="27" xfId="0" applyNumberFormat="1" applyFont="1" applyBorder="1" applyAlignment="1">
      <alignment horizontal="left"/>
    </xf>
    <xf numFmtId="49" fontId="8" fillId="0" borderId="78" xfId="0" applyNumberFormat="1" applyFont="1" applyBorder="1" applyAlignment="1">
      <alignment horizontal="left"/>
    </xf>
    <xf numFmtId="49" fontId="8" fillId="2" borderId="79" xfId="0" applyNumberFormat="1" applyFont="1" applyFill="1" applyBorder="1" applyAlignment="1">
      <alignment horizontal="left"/>
    </xf>
    <xf numFmtId="49" fontId="8" fillId="2" borderId="93" xfId="0" applyNumberFormat="1" applyFont="1" applyFill="1" applyBorder="1" applyAlignment="1">
      <alignment horizontal="left"/>
    </xf>
    <xf numFmtId="49" fontId="8" fillId="0" borderId="0" xfId="0" applyNumberFormat="1" applyFont="1" applyFill="1" applyBorder="1"/>
    <xf numFmtId="49" fontId="8" fillId="0" borderId="0" xfId="0" applyNumberFormat="1" applyFont="1"/>
    <xf numFmtId="0" fontId="6" fillId="0" borderId="77" xfId="0" applyFont="1" applyBorder="1" applyAlignment="1">
      <alignment horizontal="left"/>
    </xf>
    <xf numFmtId="0" fontId="5" fillId="3" borderId="78" xfId="0" applyFont="1" applyFill="1" applyBorder="1" applyAlignment="1">
      <alignment horizontal="left"/>
    </xf>
    <xf numFmtId="0" fontId="5" fillId="3" borderId="80" xfId="0" applyFont="1" applyFill="1" applyBorder="1" applyAlignment="1">
      <alignment horizontal="left"/>
    </xf>
    <xf numFmtId="0" fontId="5" fillId="3" borderId="27" xfId="0" applyFont="1" applyFill="1" applyBorder="1" applyAlignment="1">
      <alignment horizontal="left"/>
    </xf>
    <xf numFmtId="0" fontId="6" fillId="2" borderId="32" xfId="0" applyFont="1" applyFill="1" applyBorder="1" applyAlignment="1">
      <alignment horizontal="left"/>
    </xf>
    <xf numFmtId="0" fontId="6" fillId="0" borderId="80" xfId="0" applyFont="1" applyBorder="1" applyAlignment="1">
      <alignment horizontal="left"/>
    </xf>
    <xf numFmtId="0" fontId="6" fillId="3" borderId="77" xfId="0" applyFont="1" applyFill="1" applyBorder="1" applyAlignment="1">
      <alignment horizontal="left"/>
    </xf>
    <xf numFmtId="0" fontId="6" fillId="0" borderId="80" xfId="0" applyFont="1" applyFill="1" applyBorder="1" applyAlignment="1">
      <alignment horizontal="left"/>
    </xf>
    <xf numFmtId="0" fontId="6" fillId="3" borderId="32" xfId="0" applyFont="1" applyFill="1" applyBorder="1" applyAlignment="1">
      <alignment horizontal="left"/>
    </xf>
    <xf numFmtId="0" fontId="6" fillId="3" borderId="34" xfId="0" applyFont="1" applyFill="1" applyBorder="1" applyAlignment="1">
      <alignment horizontal="left"/>
    </xf>
    <xf numFmtId="0" fontId="6" fillId="2" borderId="39" xfId="0" applyFont="1" applyFill="1" applyBorder="1" applyAlignment="1">
      <alignment horizontal="left"/>
    </xf>
    <xf numFmtId="0" fontId="5" fillId="3" borderId="32" xfId="0" applyFont="1" applyFill="1" applyBorder="1" applyAlignment="1">
      <alignment horizontal="left"/>
    </xf>
    <xf numFmtId="0" fontId="6" fillId="2" borderId="71" xfId="0" applyFont="1" applyFill="1" applyBorder="1" applyAlignment="1">
      <alignment horizontal="left"/>
    </xf>
    <xf numFmtId="0" fontId="6" fillId="3" borderId="94" xfId="0" applyFont="1" applyFill="1" applyBorder="1" applyAlignment="1">
      <alignment horizontal="left"/>
    </xf>
    <xf numFmtId="0" fontId="6" fillId="3" borderId="78" xfId="0" applyFont="1" applyFill="1" applyBorder="1" applyAlignment="1">
      <alignment horizontal="left"/>
    </xf>
    <xf numFmtId="0" fontId="6" fillId="0" borderId="78" xfId="0" applyFont="1" applyFill="1" applyBorder="1" applyAlignment="1">
      <alignment horizontal="left"/>
    </xf>
    <xf numFmtId="164" fontId="6" fillId="3" borderId="70" xfId="0" applyNumberFormat="1" applyFont="1" applyFill="1" applyBorder="1" applyAlignment="1">
      <alignment horizontal="left"/>
    </xf>
    <xf numFmtId="164" fontId="6" fillId="3" borderId="80" xfId="0" applyNumberFormat="1" applyFont="1" applyFill="1" applyBorder="1" applyAlignment="1">
      <alignment horizontal="left"/>
    </xf>
    <xf numFmtId="164" fontId="6" fillId="3" borderId="27" xfId="0" applyNumberFormat="1" applyFont="1" applyFill="1" applyBorder="1" applyAlignment="1">
      <alignment horizontal="left"/>
    </xf>
    <xf numFmtId="164" fontId="6" fillId="0" borderId="27" xfId="0" applyNumberFormat="1" applyFont="1" applyBorder="1" applyAlignment="1">
      <alignment horizontal="left"/>
    </xf>
    <xf numFmtId="164" fontId="6" fillId="0" borderId="78" xfId="0" applyNumberFormat="1" applyFont="1" applyBorder="1" applyAlignment="1">
      <alignment horizontal="left"/>
    </xf>
    <xf numFmtId="164" fontId="9" fillId="0" borderId="78" xfId="0" applyNumberFormat="1" applyFont="1" applyBorder="1" applyAlignment="1">
      <alignment horizontal="left"/>
    </xf>
    <xf numFmtId="164" fontId="6" fillId="2" borderId="79" xfId="0" applyNumberFormat="1" applyFont="1" applyFill="1" applyBorder="1" applyAlignment="1">
      <alignment horizontal="left"/>
    </xf>
    <xf numFmtId="164" fontId="6" fillId="2" borderId="93" xfId="0" applyNumberFormat="1" applyFont="1" applyFill="1" applyBorder="1" applyAlignment="1">
      <alignment horizontal="left"/>
    </xf>
    <xf numFmtId="164" fontId="6" fillId="3" borderId="94" xfId="0" applyNumberFormat="1" applyFont="1" applyFill="1" applyBorder="1" applyAlignment="1">
      <alignment horizontal="left"/>
    </xf>
    <xf numFmtId="164" fontId="6" fillId="3" borderId="78" xfId="0" applyNumberFormat="1" applyFont="1" applyFill="1" applyBorder="1" applyAlignment="1">
      <alignment horizontal="left"/>
    </xf>
    <xf numFmtId="164" fontId="6" fillId="0" borderId="80" xfId="0" applyNumberFormat="1" applyFont="1" applyFill="1" applyBorder="1" applyAlignment="1">
      <alignment horizontal="left"/>
    </xf>
    <xf numFmtId="164" fontId="6" fillId="0" borderId="78" xfId="0" applyNumberFormat="1" applyFont="1" applyFill="1" applyBorder="1" applyAlignment="1">
      <alignment horizontal="left"/>
    </xf>
    <xf numFmtId="164" fontId="6" fillId="2" borderId="32" xfId="0" applyNumberFormat="1" applyFont="1" applyFill="1" applyBorder="1" applyAlignment="1">
      <alignment horizontal="left"/>
    </xf>
    <xf numFmtId="164" fontId="6" fillId="0" borderId="37" xfId="0" applyNumberFormat="1" applyFont="1" applyBorder="1" applyAlignment="1">
      <alignment horizontal="left"/>
    </xf>
    <xf numFmtId="164" fontId="6" fillId="0" borderId="0" xfId="0" applyNumberFormat="1" applyFont="1" applyBorder="1" applyAlignment="1">
      <alignment horizontal="left"/>
    </xf>
    <xf numFmtId="164" fontId="6" fillId="0" borderId="77" xfId="0" applyNumberFormat="1" applyFont="1" applyBorder="1" applyAlignment="1">
      <alignment horizontal="left"/>
    </xf>
    <xf numFmtId="164" fontId="5" fillId="3" borderId="78" xfId="0" applyNumberFormat="1" applyFont="1" applyFill="1" applyBorder="1" applyAlignment="1">
      <alignment horizontal="left"/>
    </xf>
    <xf numFmtId="164" fontId="5" fillId="3" borderId="80" xfId="0" applyNumberFormat="1" applyFont="1" applyFill="1" applyBorder="1" applyAlignment="1">
      <alignment horizontal="left"/>
    </xf>
    <xf numFmtId="164" fontId="5" fillId="3" borderId="27" xfId="0" applyNumberFormat="1" applyFont="1" applyFill="1" applyBorder="1" applyAlignment="1">
      <alignment horizontal="left"/>
    </xf>
    <xf numFmtId="164" fontId="6" fillId="0" borderId="80" xfId="0" applyNumberFormat="1" applyFont="1" applyBorder="1" applyAlignment="1">
      <alignment horizontal="left"/>
    </xf>
    <xf numFmtId="164" fontId="6" fillId="3" borderId="77" xfId="0" applyNumberFormat="1" applyFont="1" applyFill="1" applyBorder="1" applyAlignment="1">
      <alignment horizontal="left"/>
    </xf>
    <xf numFmtId="164" fontId="6" fillId="0" borderId="27" xfId="0" applyNumberFormat="1" applyFont="1" applyFill="1" applyBorder="1" applyAlignment="1">
      <alignment horizontal="left"/>
    </xf>
    <xf numFmtId="164" fontId="6" fillId="3" borderId="32" xfId="0" applyNumberFormat="1" applyFont="1" applyFill="1" applyBorder="1" applyAlignment="1">
      <alignment horizontal="left"/>
    </xf>
    <xf numFmtId="164" fontId="6" fillId="3" borderId="34" xfId="0" applyNumberFormat="1" applyFont="1" applyFill="1" applyBorder="1" applyAlignment="1">
      <alignment horizontal="left"/>
    </xf>
    <xf numFmtId="164" fontId="6" fillId="2" borderId="39" xfId="0" applyNumberFormat="1" applyFont="1" applyFill="1" applyBorder="1" applyAlignment="1">
      <alignment horizontal="left"/>
    </xf>
    <xf numFmtId="164" fontId="5" fillId="3" borderId="32" xfId="0" applyNumberFormat="1" applyFont="1" applyFill="1" applyBorder="1" applyAlignment="1">
      <alignment horizontal="left"/>
    </xf>
    <xf numFmtId="164" fontId="6" fillId="2" borderId="71" xfId="0" applyNumberFormat="1" applyFont="1" applyFill="1" applyBorder="1" applyAlignment="1">
      <alignment horizontal="left"/>
    </xf>
    <xf numFmtId="164" fontId="6" fillId="0" borderId="0" xfId="0" applyNumberFormat="1" applyFont="1" applyAlignment="1">
      <alignment horizontal="right"/>
    </xf>
    <xf numFmtId="0" fontId="0" fillId="4" borderId="0" xfId="0" applyFill="1"/>
    <xf numFmtId="0" fontId="0" fillId="5" borderId="95" xfId="0" applyFill="1" applyBorder="1"/>
    <xf numFmtId="0" fontId="21" fillId="5" borderId="0" xfId="2" applyFont="1" applyFill="1" applyBorder="1" applyAlignment="1" applyProtection="1">
      <alignment horizontal="left" vertical="center" wrapText="1"/>
    </xf>
    <xf numFmtId="0" fontId="13" fillId="5" borderId="96" xfId="2" applyFill="1" applyBorder="1" applyAlignment="1" applyProtection="1">
      <alignment horizontal="justify" vertical="center"/>
    </xf>
    <xf numFmtId="0" fontId="0" fillId="5" borderId="0" xfId="0" applyFill="1" applyBorder="1"/>
    <xf numFmtId="0" fontId="14" fillId="5" borderId="96" xfId="0" applyFont="1" applyFill="1" applyBorder="1" applyAlignment="1">
      <alignment horizontal="justify" vertical="center"/>
    </xf>
    <xf numFmtId="0" fontId="0" fillId="5" borderId="97" xfId="0" applyFill="1" applyBorder="1"/>
    <xf numFmtId="0" fontId="0" fillId="5" borderId="35" xfId="0" applyFill="1" applyBorder="1"/>
    <xf numFmtId="0" fontId="0" fillId="5" borderId="98" xfId="0" applyFill="1" applyBorder="1"/>
    <xf numFmtId="0" fontId="5" fillId="6" borderId="0" xfId="0" applyFont="1" applyFill="1" applyBorder="1" applyAlignment="1">
      <alignment horizontal="centerContinuous"/>
    </xf>
    <xf numFmtId="0" fontId="22" fillId="6" borderId="0" xfId="0" applyFont="1" applyFill="1" applyAlignment="1">
      <alignment horizontal="left"/>
    </xf>
    <xf numFmtId="0" fontId="23" fillId="6" borderId="0" xfId="0" applyFont="1" applyFill="1" applyBorder="1" applyAlignment="1">
      <alignment horizontal="centerContinuous"/>
    </xf>
    <xf numFmtId="0" fontId="5" fillId="6" borderId="0" xfId="0" applyFont="1" applyFill="1" applyAlignment="1">
      <alignment horizontal="centerContinuous"/>
    </xf>
    <xf numFmtId="0" fontId="14" fillId="5" borderId="0" xfId="0" applyFont="1" applyFill="1" applyBorder="1" applyAlignment="1">
      <alignment vertical="top" wrapText="1"/>
    </xf>
    <xf numFmtId="164" fontId="0" fillId="0" borderId="60" xfId="1" applyNumberFormat="1" applyFont="1" applyBorder="1" applyAlignment="1">
      <alignment vertical="center"/>
    </xf>
    <xf numFmtId="0" fontId="14" fillId="5" borderId="100" xfId="0" applyFont="1" applyFill="1" applyBorder="1" applyAlignment="1">
      <alignment horizontal="left" vertical="center" wrapText="1"/>
    </xf>
    <xf numFmtId="0" fontId="0" fillId="5" borderId="101" xfId="0" applyFill="1" applyBorder="1"/>
    <xf numFmtId="0" fontId="14" fillId="5" borderId="102" xfId="0" applyFont="1" applyFill="1" applyBorder="1" applyAlignment="1">
      <alignment horizontal="left" vertical="center" wrapText="1"/>
    </xf>
    <xf numFmtId="0" fontId="0" fillId="5" borderId="103" xfId="0" applyFill="1" applyBorder="1"/>
    <xf numFmtId="0" fontId="24" fillId="5" borderId="0" xfId="0" applyFont="1" applyFill="1" applyBorder="1" applyAlignment="1">
      <alignment vertical="top" wrapText="1"/>
    </xf>
    <xf numFmtId="0" fontId="8" fillId="0" borderId="27" xfId="0" applyFont="1" applyBorder="1" applyAlignment="1">
      <alignment horizontal="left"/>
    </xf>
    <xf numFmtId="0" fontId="6" fillId="6" borderId="3" xfId="0" applyFont="1" applyFill="1" applyBorder="1"/>
    <xf numFmtId="0" fontId="27" fillId="0" borderId="60" xfId="0" applyFont="1" applyFill="1" applyBorder="1" applyAlignment="1">
      <alignment horizontal="center"/>
    </xf>
    <xf numFmtId="0" fontId="27" fillId="0" borderId="60" xfId="0" applyFont="1" applyFill="1" applyBorder="1" applyAlignment="1">
      <alignment horizontal="center" wrapText="1"/>
    </xf>
    <xf numFmtId="42" fontId="27" fillId="0" borderId="60" xfId="1" applyNumberFormat="1" applyFont="1" applyFill="1" applyBorder="1" applyAlignment="1">
      <alignment horizontal="center"/>
    </xf>
    <xf numFmtId="44" fontId="27" fillId="0" borderId="60" xfId="1" applyFont="1" applyFill="1" applyBorder="1" applyAlignment="1">
      <alignment horizontal="center" wrapText="1"/>
    </xf>
    <xf numFmtId="44" fontId="27" fillId="0" borderId="60" xfId="1" applyFont="1" applyFill="1" applyBorder="1" applyAlignment="1">
      <alignment horizontal="center"/>
    </xf>
    <xf numFmtId="0" fontId="0" fillId="0" borderId="60" xfId="0" applyFont="1" applyFill="1" applyBorder="1"/>
    <xf numFmtId="0" fontId="0" fillId="0" borderId="60" xfId="0" applyFont="1" applyFill="1" applyBorder="1" applyAlignment="1">
      <alignment wrapText="1"/>
    </xf>
    <xf numFmtId="42" fontId="0" fillId="0" borderId="60" xfId="1" applyNumberFormat="1" applyFont="1" applyFill="1" applyBorder="1"/>
    <xf numFmtId="44" fontId="0" fillId="0" borderId="60" xfId="1" applyFont="1" applyFill="1" applyBorder="1"/>
    <xf numFmtId="0" fontId="4" fillId="0" borderId="60" xfId="0" applyFont="1" applyFill="1" applyBorder="1"/>
    <xf numFmtId="42" fontId="4" fillId="0" borderId="60" xfId="1" applyNumberFormat="1" applyFont="1" applyFill="1" applyBorder="1"/>
    <xf numFmtId="0" fontId="4" fillId="0" borderId="0" xfId="0" applyFont="1"/>
    <xf numFmtId="0" fontId="4" fillId="0" borderId="60" xfId="0" applyFont="1" applyFill="1" applyBorder="1" applyAlignment="1"/>
    <xf numFmtId="37" fontId="4" fillId="0" borderId="60" xfId="1" applyNumberFormat="1" applyFont="1" applyFill="1" applyBorder="1"/>
    <xf numFmtId="0" fontId="4" fillId="0" borderId="60" xfId="0" applyFont="1" applyBorder="1" applyAlignment="1">
      <alignment horizontal="right"/>
    </xf>
    <xf numFmtId="0" fontId="4" fillId="0" borderId="60" xfId="0" applyFont="1" applyBorder="1" applyAlignment="1">
      <alignment horizontal="center"/>
    </xf>
    <xf numFmtId="0" fontId="0" fillId="0" borderId="60" xfId="0" applyBorder="1" applyAlignment="1">
      <alignment horizontal="right"/>
    </xf>
    <xf numFmtId="0" fontId="0" fillId="0" borderId="60" xfId="0" applyBorder="1"/>
    <xf numFmtId="0" fontId="1" fillId="0" borderId="60" xfId="0" applyFont="1" applyFill="1" applyBorder="1"/>
    <xf numFmtId="0" fontId="4" fillId="0" borderId="60" xfId="0" applyFont="1" applyFill="1" applyBorder="1" applyAlignment="1">
      <alignment horizontal="right"/>
    </xf>
    <xf numFmtId="44" fontId="4" fillId="0" borderId="60" xfId="1" applyFont="1" applyFill="1" applyBorder="1" applyAlignment="1">
      <alignment horizontal="center" vertical="center"/>
    </xf>
    <xf numFmtId="14" fontId="4" fillId="0" borderId="60" xfId="0" applyNumberFormat="1" applyFont="1" applyFill="1" applyBorder="1" applyAlignment="1">
      <alignment horizontal="center" vertical="center" wrapText="1"/>
    </xf>
    <xf numFmtId="44" fontId="4" fillId="0" borderId="60" xfId="1" applyFont="1" applyFill="1" applyBorder="1" applyAlignment="1">
      <alignment horizontal="center" vertical="center" wrapText="1"/>
    </xf>
    <xf numFmtId="44" fontId="1" fillId="0" borderId="60" xfId="1" applyFont="1" applyFill="1" applyBorder="1"/>
    <xf numFmtId="44" fontId="1" fillId="6" borderId="60" xfId="1" applyFont="1" applyFill="1" applyBorder="1"/>
    <xf numFmtId="44" fontId="1" fillId="0" borderId="60" xfId="0" applyNumberFormat="1" applyFont="1" applyFill="1" applyBorder="1"/>
    <xf numFmtId="44" fontId="1" fillId="6" borderId="60" xfId="0" applyNumberFormat="1" applyFont="1" applyFill="1" applyBorder="1"/>
    <xf numFmtId="6" fontId="1" fillId="0" borderId="60" xfId="0" applyNumberFormat="1" applyFont="1" applyFill="1" applyBorder="1"/>
    <xf numFmtId="1" fontId="1" fillId="0" borderId="60" xfId="1" applyNumberFormat="1" applyFont="1" applyFill="1" applyBorder="1"/>
    <xf numFmtId="0" fontId="4" fillId="0" borderId="60" xfId="0" applyFont="1" applyFill="1" applyBorder="1" applyAlignment="1">
      <alignment horizontal="center" vertical="center" wrapText="1"/>
    </xf>
    <xf numFmtId="0" fontId="1" fillId="0" borderId="0" xfId="0" applyFont="1" applyFill="1" applyBorder="1"/>
    <xf numFmtId="0" fontId="4" fillId="0" borderId="0" xfId="0" applyFont="1" applyFill="1" applyBorder="1"/>
    <xf numFmtId="0" fontId="4" fillId="0" borderId="60" xfId="0" applyFont="1" applyBorder="1" applyAlignment="1">
      <alignment vertical="center"/>
    </xf>
    <xf numFmtId="0" fontId="0" fillId="0" borderId="0" xfId="0" applyBorder="1"/>
    <xf numFmtId="164" fontId="6" fillId="4" borderId="27" xfId="0" applyNumberFormat="1" applyFont="1" applyFill="1" applyBorder="1" applyAlignment="1">
      <alignment horizontal="left"/>
    </xf>
    <xf numFmtId="49" fontId="8" fillId="0" borderId="27" xfId="0" applyNumberFormat="1" applyFont="1" applyBorder="1" applyAlignment="1">
      <alignment horizontal="left" wrapText="1"/>
    </xf>
    <xf numFmtId="0" fontId="1" fillId="5" borderId="99" xfId="2" applyFont="1" applyFill="1" applyBorder="1" applyAlignment="1" applyProtection="1">
      <alignment horizontal="justify" vertical="center"/>
    </xf>
    <xf numFmtId="0" fontId="1" fillId="2" borderId="3" xfId="0" applyFont="1" applyFill="1" applyBorder="1"/>
    <xf numFmtId="8" fontId="1" fillId="0" borderId="0" xfId="0" applyNumberFormat="1" applyFont="1" applyFill="1" applyBorder="1"/>
    <xf numFmtId="0" fontId="1" fillId="2" borderId="32" xfId="0" applyFont="1" applyFill="1" applyBorder="1" applyAlignment="1">
      <alignment horizontal="center"/>
    </xf>
    <xf numFmtId="8" fontId="1" fillId="3" borderId="45" xfId="0" applyNumberFormat="1" applyFont="1" applyFill="1" applyBorder="1"/>
    <xf numFmtId="8" fontId="1" fillId="3" borderId="46" xfId="0" applyNumberFormat="1" applyFont="1" applyFill="1" applyBorder="1"/>
    <xf numFmtId="8" fontId="1" fillId="3" borderId="47" xfId="0" applyNumberFormat="1" applyFont="1" applyFill="1" applyBorder="1"/>
    <xf numFmtId="8" fontId="1" fillId="3" borderId="48" xfId="0" applyNumberFormat="1" applyFont="1" applyFill="1" applyBorder="1"/>
    <xf numFmtId="8" fontId="1" fillId="3" borderId="49" xfId="0" applyNumberFormat="1" applyFont="1" applyFill="1" applyBorder="1"/>
    <xf numFmtId="8" fontId="1" fillId="3" borderId="29" xfId="0" applyNumberFormat="1" applyFont="1" applyFill="1" applyBorder="1"/>
    <xf numFmtId="8" fontId="1" fillId="3" borderId="50" xfId="0" applyNumberFormat="1" applyFont="1" applyFill="1" applyBorder="1"/>
    <xf numFmtId="8" fontId="1" fillId="3" borderId="51" xfId="0" applyNumberFormat="1" applyFont="1" applyFill="1" applyBorder="1"/>
    <xf numFmtId="8" fontId="1" fillId="3" borderId="52" xfId="0" applyNumberFormat="1" applyFont="1" applyFill="1" applyBorder="1"/>
    <xf numFmtId="8" fontId="1" fillId="0" borderId="50" xfId="0" applyNumberFormat="1" applyFont="1" applyBorder="1"/>
    <xf numFmtId="8" fontId="1" fillId="0" borderId="51" xfId="0" applyNumberFormat="1" applyFont="1" applyBorder="1"/>
    <xf numFmtId="8" fontId="1" fillId="0" borderId="52" xfId="0" applyNumberFormat="1" applyFont="1" applyBorder="1"/>
    <xf numFmtId="8" fontId="1" fillId="0" borderId="53" xfId="0" applyNumberFormat="1" applyFont="1" applyBorder="1"/>
    <xf numFmtId="8" fontId="1" fillId="0" borderId="54" xfId="0" applyNumberFormat="1" applyFont="1" applyBorder="1"/>
    <xf numFmtId="8" fontId="1" fillId="0" borderId="28" xfId="0" applyNumberFormat="1" applyFont="1" applyBorder="1"/>
    <xf numFmtId="8" fontId="1" fillId="2" borderId="55" xfId="0" applyNumberFormat="1" applyFont="1" applyFill="1" applyBorder="1"/>
    <xf numFmtId="8" fontId="1" fillId="2" borderId="24" xfId="0" applyNumberFormat="1" applyFont="1" applyFill="1" applyBorder="1"/>
    <xf numFmtId="8" fontId="1" fillId="3" borderId="8" xfId="0" applyNumberFormat="1" applyFont="1" applyFill="1" applyBorder="1"/>
    <xf numFmtId="8" fontId="1" fillId="3" borderId="10" xfId="0" applyNumberFormat="1" applyFont="1" applyFill="1" applyBorder="1"/>
    <xf numFmtId="8" fontId="1" fillId="0" borderId="10" xfId="0" applyNumberFormat="1" applyFont="1" applyBorder="1"/>
    <xf numFmtId="8" fontId="1" fillId="0" borderId="12" xfId="0" applyNumberFormat="1" applyFont="1" applyBorder="1"/>
    <xf numFmtId="8" fontId="1" fillId="2" borderId="26" xfId="0" applyNumberFormat="1" applyFont="1" applyFill="1" applyBorder="1"/>
    <xf numFmtId="8" fontId="1" fillId="0" borderId="49" xfId="0" applyNumberFormat="1" applyFont="1" applyFill="1" applyBorder="1"/>
    <xf numFmtId="8" fontId="1" fillId="0" borderId="8" xfId="0" applyNumberFormat="1" applyFont="1" applyFill="1" applyBorder="1"/>
    <xf numFmtId="8" fontId="1" fillId="0" borderId="53" xfId="0" applyNumberFormat="1" applyFont="1" applyFill="1" applyBorder="1"/>
    <xf numFmtId="8" fontId="1" fillId="0" borderId="54" xfId="0" applyNumberFormat="1" applyFont="1" applyFill="1" applyBorder="1"/>
    <xf numFmtId="8" fontId="1" fillId="0" borderId="12" xfId="0" applyNumberFormat="1" applyFont="1" applyFill="1" applyBorder="1"/>
    <xf numFmtId="8" fontId="1" fillId="2" borderId="56" xfId="0" applyNumberFormat="1" applyFont="1" applyFill="1" applyBorder="1"/>
    <xf numFmtId="8" fontId="1" fillId="2" borderId="22" xfId="0" applyNumberFormat="1" applyFont="1" applyFill="1" applyBorder="1"/>
    <xf numFmtId="0" fontId="1" fillId="0" borderId="0" xfId="0" applyFont="1"/>
    <xf numFmtId="8" fontId="1" fillId="0" borderId="5" xfId="0" applyNumberFormat="1" applyFont="1" applyBorder="1"/>
    <xf numFmtId="8" fontId="1" fillId="0" borderId="57" xfId="0" applyNumberFormat="1" applyFont="1" applyBorder="1"/>
    <xf numFmtId="8" fontId="1" fillId="0" borderId="6" xfId="0" applyNumberFormat="1" applyFont="1" applyBorder="1"/>
    <xf numFmtId="8" fontId="1" fillId="3" borderId="9" xfId="0" applyNumberFormat="1" applyFont="1" applyFill="1" applyBorder="1"/>
    <xf numFmtId="8" fontId="1" fillId="2" borderId="60" xfId="0" applyNumberFormat="1" applyFont="1" applyFill="1" applyBorder="1"/>
    <xf numFmtId="8" fontId="1" fillId="2" borderId="58" xfId="0" applyNumberFormat="1" applyFont="1" applyFill="1" applyBorder="1"/>
    <xf numFmtId="8" fontId="1" fillId="0" borderId="49" xfId="0" applyNumberFormat="1" applyFont="1" applyBorder="1"/>
    <xf numFmtId="8" fontId="1" fillId="0" borderId="8" xfId="0" applyNumberFormat="1" applyFont="1" applyBorder="1"/>
    <xf numFmtId="8" fontId="1" fillId="3" borderId="57" xfId="0" applyNumberFormat="1" applyFont="1" applyFill="1" applyBorder="1"/>
    <xf numFmtId="8" fontId="1" fillId="3" borderId="6" xfId="0" applyNumberFormat="1" applyFont="1" applyFill="1" applyBorder="1"/>
    <xf numFmtId="8" fontId="1" fillId="0" borderId="51" xfId="0" applyNumberFormat="1" applyFont="1" applyFill="1" applyBorder="1"/>
    <xf numFmtId="8" fontId="1" fillId="0" borderId="10" xfId="0" applyNumberFormat="1" applyFont="1" applyFill="1" applyBorder="1"/>
    <xf numFmtId="8" fontId="1" fillId="3" borderId="58" xfId="0" applyNumberFormat="1" applyFont="1" applyFill="1" applyBorder="1"/>
    <xf numFmtId="8" fontId="1" fillId="3" borderId="22" xfId="0" applyNumberFormat="1" applyFont="1" applyFill="1" applyBorder="1"/>
    <xf numFmtId="8" fontId="1" fillId="3" borderId="59" xfId="0" applyNumberFormat="1" applyFont="1" applyFill="1" applyBorder="1"/>
    <xf numFmtId="8" fontId="1" fillId="3" borderId="44" xfId="0" applyNumberFormat="1" applyFont="1" applyFill="1" applyBorder="1"/>
    <xf numFmtId="8" fontId="1" fillId="2" borderId="61" xfId="0" applyNumberFormat="1" applyFont="1" applyFill="1" applyBorder="1"/>
    <xf numFmtId="8" fontId="1" fillId="2" borderId="41" xfId="0" applyNumberFormat="1" applyFont="1" applyFill="1" applyBorder="1"/>
    <xf numFmtId="8" fontId="1" fillId="0" borderId="9" xfId="0" applyNumberFormat="1" applyFont="1" applyBorder="1"/>
    <xf numFmtId="8" fontId="1" fillId="2" borderId="21" xfId="0" applyNumberFormat="1" applyFont="1" applyFill="1" applyBorder="1"/>
    <xf numFmtId="8" fontId="1" fillId="3" borderId="43" xfId="0" applyNumberFormat="1" applyFont="1" applyFill="1" applyBorder="1"/>
    <xf numFmtId="8" fontId="1" fillId="2" borderId="40" xfId="0" applyNumberFormat="1" applyFont="1" applyFill="1" applyBorder="1"/>
    <xf numFmtId="8" fontId="1" fillId="0" borderId="0" xfId="0" applyNumberFormat="1" applyFont="1"/>
    <xf numFmtId="8" fontId="1" fillId="3" borderId="30" xfId="0" applyNumberFormat="1" applyFont="1" applyFill="1" applyBorder="1"/>
    <xf numFmtId="8" fontId="1" fillId="3" borderId="31" xfId="0" applyNumberFormat="1" applyFont="1" applyFill="1" applyBorder="1"/>
    <xf numFmtId="8" fontId="1" fillId="3" borderId="7" xfId="0" applyNumberFormat="1" applyFont="1" applyFill="1" applyBorder="1"/>
    <xf numFmtId="8" fontId="1" fillId="0" borderId="11" xfId="0" applyNumberFormat="1" applyFont="1" applyBorder="1"/>
    <xf numFmtId="8" fontId="1" fillId="2" borderId="25" xfId="0" applyNumberFormat="1" applyFont="1" applyFill="1" applyBorder="1"/>
    <xf numFmtId="8" fontId="1" fillId="0" borderId="7" xfId="0" applyNumberFormat="1" applyFont="1" applyFill="1" applyBorder="1"/>
    <xf numFmtId="8" fontId="1" fillId="2" borderId="59" xfId="0" applyNumberFormat="1" applyFont="1" applyFill="1" applyBorder="1"/>
    <xf numFmtId="8" fontId="1" fillId="2" borderId="44" xfId="0" applyNumberFormat="1" applyFont="1" applyFill="1" applyBorder="1"/>
    <xf numFmtId="0" fontId="1" fillId="0" borderId="37" xfId="0" applyFont="1" applyBorder="1"/>
    <xf numFmtId="0" fontId="1" fillId="0" borderId="0" xfId="0" applyFont="1" applyBorder="1"/>
    <xf numFmtId="8" fontId="1" fillId="0" borderId="7" xfId="0" applyNumberFormat="1" applyFont="1" applyBorder="1"/>
    <xf numFmtId="8" fontId="1" fillId="3" borderId="5" xfId="0" applyNumberFormat="1" applyFont="1" applyFill="1" applyBorder="1"/>
    <xf numFmtId="8" fontId="1" fillId="3" borderId="21" xfId="0" applyNumberFormat="1" applyFont="1" applyFill="1" applyBorder="1"/>
    <xf numFmtId="0" fontId="8" fillId="0" borderId="19" xfId="0" applyFont="1" applyBorder="1"/>
    <xf numFmtId="10" fontId="0" fillId="0" borderId="60" xfId="4" applyNumberFormat="1" applyFont="1" applyBorder="1"/>
    <xf numFmtId="44" fontId="1" fillId="0" borderId="51" xfId="0" applyNumberFormat="1" applyFont="1" applyBorder="1"/>
    <xf numFmtId="44" fontId="1" fillId="0" borderId="52" xfId="0" applyNumberFormat="1" applyFont="1" applyBorder="1"/>
    <xf numFmtId="164" fontId="0" fillId="0" borderId="60" xfId="1" applyNumberFormat="1" applyFont="1" applyFill="1" applyBorder="1"/>
    <xf numFmtId="49" fontId="7" fillId="0" borderId="0" xfId="0" applyNumberFormat="1" applyFont="1" applyAlignment="1">
      <alignment horizontal="centerContinuous" wrapText="1"/>
    </xf>
    <xf numFmtId="49" fontId="8" fillId="3" borderId="70" xfId="0" applyNumberFormat="1" applyFont="1" applyFill="1" applyBorder="1" applyAlignment="1">
      <alignment horizontal="left" wrapText="1"/>
    </xf>
    <xf numFmtId="49" fontId="8" fillId="3" borderId="80" xfId="0" applyNumberFormat="1" applyFont="1" applyFill="1" applyBorder="1" applyAlignment="1">
      <alignment horizontal="left" wrapText="1"/>
    </xf>
    <xf numFmtId="49" fontId="8" fillId="3" borderId="27" xfId="0" applyNumberFormat="1" applyFont="1" applyFill="1" applyBorder="1" applyAlignment="1">
      <alignment horizontal="left" wrapText="1"/>
    </xf>
    <xf numFmtId="49" fontId="8" fillId="0" borderId="27" xfId="3" applyNumberFormat="1" applyFont="1" applyBorder="1" applyAlignment="1">
      <alignment horizontal="left" wrapText="1"/>
    </xf>
    <xf numFmtId="49" fontId="8" fillId="3" borderId="27" xfId="3" applyNumberFormat="1" applyFont="1" applyFill="1" applyBorder="1" applyAlignment="1">
      <alignment horizontal="left" wrapText="1"/>
    </xf>
    <xf numFmtId="49" fontId="9" fillId="0" borderId="78" xfId="3" applyNumberFormat="1" applyFont="1" applyBorder="1" applyAlignment="1">
      <alignment horizontal="left" wrapText="1"/>
    </xf>
    <xf numFmtId="49" fontId="8" fillId="0" borderId="78" xfId="3" applyNumberFormat="1" applyFont="1" applyBorder="1" applyAlignment="1">
      <alignment horizontal="left" wrapText="1"/>
    </xf>
    <xf numFmtId="49" fontId="8" fillId="2" borderId="79" xfId="3" applyNumberFormat="1" applyFont="1" applyFill="1" applyBorder="1" applyAlignment="1">
      <alignment horizontal="left" wrapText="1"/>
    </xf>
    <xf numFmtId="49" fontId="8" fillId="3" borderId="80" xfId="3" applyNumberFormat="1" applyFont="1" applyFill="1" applyBorder="1" applyAlignment="1">
      <alignment horizontal="left" wrapText="1"/>
    </xf>
    <xf numFmtId="49" fontId="9" fillId="0" borderId="78" xfId="0" applyNumberFormat="1" applyFont="1" applyBorder="1" applyAlignment="1">
      <alignment horizontal="left" wrapText="1"/>
    </xf>
    <xf numFmtId="49" fontId="8" fillId="0" borderId="78" xfId="0" applyNumberFormat="1" applyFont="1" applyBorder="1" applyAlignment="1">
      <alignment horizontal="left" wrapText="1"/>
    </xf>
    <xf numFmtId="49" fontId="8" fillId="2" borderId="93" xfId="0" applyNumberFormat="1" applyFont="1" applyFill="1" applyBorder="1" applyAlignment="1">
      <alignment horizontal="left" wrapText="1"/>
    </xf>
    <xf numFmtId="49" fontId="8" fillId="0" borderId="0" xfId="0" applyNumberFormat="1" applyFont="1" applyFill="1" applyBorder="1" applyAlignment="1">
      <alignment wrapText="1"/>
    </xf>
    <xf numFmtId="0" fontId="6" fillId="0" borderId="0" xfId="0" applyFont="1" applyFill="1" applyBorder="1" applyAlignment="1">
      <alignment wrapText="1"/>
    </xf>
    <xf numFmtId="0" fontId="6" fillId="3" borderId="94" xfId="0" applyFont="1" applyFill="1" applyBorder="1" applyAlignment="1">
      <alignment horizontal="left" wrapText="1"/>
    </xf>
    <xf numFmtId="0" fontId="6" fillId="3" borderId="27" xfId="0" applyFont="1" applyFill="1" applyBorder="1" applyAlignment="1">
      <alignment horizontal="left" wrapText="1"/>
    </xf>
    <xf numFmtId="0" fontId="6" fillId="0" borderId="27" xfId="0" applyFont="1" applyBorder="1" applyAlignment="1">
      <alignment horizontal="left" wrapText="1"/>
    </xf>
    <xf numFmtId="0" fontId="8" fillId="0" borderId="27" xfId="3" applyFont="1" applyBorder="1" applyAlignment="1">
      <alignment horizontal="left" wrapText="1"/>
    </xf>
    <xf numFmtId="0" fontId="6" fillId="3" borderId="27" xfId="3" applyFont="1" applyFill="1" applyBorder="1" applyAlignment="1">
      <alignment horizontal="left" wrapText="1"/>
    </xf>
    <xf numFmtId="0" fontId="6" fillId="0" borderId="27" xfId="3" applyFont="1" applyBorder="1" applyAlignment="1">
      <alignment horizontal="left" wrapText="1"/>
    </xf>
    <xf numFmtId="0" fontId="6" fillId="3" borderId="78" xfId="0" applyFont="1" applyFill="1" applyBorder="1" applyAlignment="1">
      <alignment horizontal="left" wrapText="1"/>
    </xf>
    <xf numFmtId="0" fontId="9" fillId="0" borderId="78" xfId="0" applyFont="1" applyBorder="1" applyAlignment="1">
      <alignment horizontal="left" wrapText="1"/>
    </xf>
    <xf numFmtId="0" fontId="6" fillId="0" borderId="78" xfId="0" applyFont="1" applyBorder="1" applyAlignment="1">
      <alignment horizontal="left" wrapText="1"/>
    </xf>
    <xf numFmtId="0" fontId="6" fillId="2" borderId="79" xfId="0" applyFont="1" applyFill="1" applyBorder="1" applyAlignment="1">
      <alignment horizontal="left" wrapText="1"/>
    </xf>
    <xf numFmtId="0" fontId="6" fillId="0" borderId="80" xfId="0" applyFont="1" applyFill="1" applyBorder="1" applyAlignment="1">
      <alignment horizontal="left" wrapText="1"/>
    </xf>
    <xf numFmtId="0" fontId="6" fillId="0" borderId="78" xfId="0" applyFont="1" applyFill="1" applyBorder="1" applyAlignment="1">
      <alignment horizontal="left" wrapText="1"/>
    </xf>
    <xf numFmtId="0" fontId="6" fillId="2" borderId="32" xfId="0" applyFont="1" applyFill="1" applyBorder="1" applyAlignment="1">
      <alignment horizontal="left" wrapText="1"/>
    </xf>
    <xf numFmtId="0" fontId="6" fillId="0" borderId="37" xfId="0" applyFont="1" applyBorder="1" applyAlignment="1">
      <alignment horizontal="left" wrapText="1"/>
    </xf>
    <xf numFmtId="0" fontId="6" fillId="0" borderId="0" xfId="0" applyFont="1" applyBorder="1" applyAlignment="1">
      <alignment horizontal="left" wrapText="1"/>
    </xf>
    <xf numFmtId="0" fontId="6" fillId="0" borderId="77" xfId="0" applyFont="1" applyBorder="1" applyAlignment="1">
      <alignment horizontal="left" wrapText="1"/>
    </xf>
    <xf numFmtId="0" fontId="5" fillId="3" borderId="78" xfId="0" applyFont="1" applyFill="1" applyBorder="1" applyAlignment="1">
      <alignment horizontal="left" wrapText="1"/>
    </xf>
    <xf numFmtId="0" fontId="5" fillId="3" borderId="80" xfId="0" applyFont="1" applyFill="1" applyBorder="1" applyAlignment="1">
      <alignment horizontal="left" wrapText="1"/>
    </xf>
    <xf numFmtId="0" fontId="6" fillId="0" borderId="77" xfId="3" applyFont="1" applyBorder="1" applyAlignment="1">
      <alignment horizontal="left" wrapText="1"/>
    </xf>
    <xf numFmtId="0" fontId="6" fillId="2" borderId="79" xfId="3" applyFont="1" applyFill="1" applyBorder="1" applyAlignment="1">
      <alignment horizontal="left" wrapText="1"/>
    </xf>
    <xf numFmtId="0" fontId="5" fillId="3" borderId="78" xfId="3" applyFont="1" applyFill="1" applyBorder="1" applyAlignment="1">
      <alignment horizontal="left" wrapText="1"/>
    </xf>
    <xf numFmtId="0" fontId="5" fillId="3" borderId="80" xfId="3" applyFont="1" applyFill="1" applyBorder="1" applyAlignment="1">
      <alignment horizontal="left" wrapText="1"/>
    </xf>
    <xf numFmtId="0" fontId="5" fillId="3" borderId="27" xfId="3" applyFont="1" applyFill="1" applyBorder="1" applyAlignment="1">
      <alignment horizontal="left" wrapText="1"/>
    </xf>
    <xf numFmtId="0" fontId="6" fillId="2" borderId="32" xfId="3" applyFont="1" applyFill="1" applyBorder="1" applyAlignment="1">
      <alignment horizontal="left" wrapText="1"/>
    </xf>
    <xf numFmtId="0" fontId="6" fillId="0" borderId="80" xfId="3" applyFont="1" applyBorder="1" applyAlignment="1">
      <alignment horizontal="left" wrapText="1"/>
    </xf>
    <xf numFmtId="0" fontId="6" fillId="3" borderId="77" xfId="3" applyFont="1" applyFill="1" applyBorder="1" applyAlignment="1">
      <alignment horizontal="left" wrapText="1"/>
    </xf>
    <xf numFmtId="0" fontId="6" fillId="3" borderId="80" xfId="3" applyFont="1" applyFill="1" applyBorder="1" applyAlignment="1">
      <alignment horizontal="left" wrapText="1"/>
    </xf>
    <xf numFmtId="0" fontId="6" fillId="0" borderId="78" xfId="3" applyFont="1" applyBorder="1" applyAlignment="1">
      <alignment horizontal="left" wrapText="1"/>
    </xf>
    <xf numFmtId="0" fontId="6" fillId="0" borderId="80" xfId="3" applyFont="1" applyFill="1" applyBorder="1" applyAlignment="1">
      <alignment horizontal="left" wrapText="1"/>
    </xf>
    <xf numFmtId="0" fontId="6" fillId="3" borderId="32" xfId="3" applyFont="1" applyFill="1" applyBorder="1" applyAlignment="1">
      <alignment horizontal="left" wrapText="1"/>
    </xf>
    <xf numFmtId="0" fontId="6" fillId="3" borderId="34" xfId="3" applyFont="1" applyFill="1" applyBorder="1" applyAlignment="1">
      <alignment horizontal="left" wrapText="1"/>
    </xf>
    <xf numFmtId="0" fontId="6" fillId="2" borderId="39" xfId="3" applyFont="1" applyFill="1" applyBorder="1" applyAlignment="1">
      <alignment horizontal="left" wrapText="1"/>
    </xf>
    <xf numFmtId="0" fontId="5" fillId="3" borderId="32" xfId="0" applyFont="1" applyFill="1" applyBorder="1" applyAlignment="1">
      <alignment horizontal="left" wrapText="1"/>
    </xf>
    <xf numFmtId="0" fontId="6" fillId="3" borderId="34" xfId="0" applyFont="1" applyFill="1" applyBorder="1" applyAlignment="1">
      <alignment horizontal="left" wrapText="1"/>
    </xf>
    <xf numFmtId="0" fontId="6" fillId="2" borderId="71" xfId="0" applyFont="1" applyFill="1" applyBorder="1" applyAlignment="1">
      <alignment horizontal="left" wrapText="1"/>
    </xf>
    <xf numFmtId="49" fontId="8" fillId="0" borderId="0" xfId="0" applyNumberFormat="1" applyFont="1" applyAlignment="1">
      <alignment wrapText="1"/>
    </xf>
    <xf numFmtId="0" fontId="0" fillId="0" borderId="96" xfId="0" applyFill="1" applyBorder="1"/>
    <xf numFmtId="44" fontId="0" fillId="0" borderId="0" xfId="1" applyFont="1" applyFill="1" applyBorder="1"/>
    <xf numFmtId="0" fontId="0" fillId="0" borderId="0" xfId="0" applyFill="1" applyBorder="1"/>
    <xf numFmtId="0" fontId="0" fillId="0" borderId="95" xfId="0" applyFill="1" applyBorder="1"/>
    <xf numFmtId="0" fontId="4" fillId="0" borderId="96" xfId="0" applyFont="1" applyFill="1" applyBorder="1" applyAlignment="1">
      <alignment horizontal="center"/>
    </xf>
    <xf numFmtId="44" fontId="4" fillId="0" borderId="110" xfId="1" applyFont="1" applyFill="1" applyBorder="1" applyAlignment="1">
      <alignment horizontal="center"/>
    </xf>
    <xf numFmtId="0" fontId="4" fillId="0" borderId="110" xfId="0" applyFont="1" applyFill="1" applyBorder="1" applyAlignment="1">
      <alignment horizontal="center"/>
    </xf>
    <xf numFmtId="0" fontId="4" fillId="0" borderId="110" xfId="0" applyFont="1" applyFill="1" applyBorder="1" applyAlignment="1">
      <alignment horizontal="center" wrapText="1"/>
    </xf>
    <xf numFmtId="0" fontId="4" fillId="0" borderId="118" xfId="0" applyFont="1" applyFill="1" applyBorder="1" applyAlignment="1">
      <alignment horizontal="center"/>
    </xf>
    <xf numFmtId="0" fontId="4" fillId="0" borderId="114" xfId="0" applyFont="1" applyFill="1" applyBorder="1" applyAlignment="1">
      <alignment horizontal="center" vertical="center"/>
    </xf>
    <xf numFmtId="44" fontId="4" fillId="0" borderId="60" xfId="1" applyFont="1" applyFill="1" applyBorder="1" applyAlignment="1">
      <alignment horizontal="center" wrapText="1"/>
    </xf>
    <xf numFmtId="0" fontId="4" fillId="0" borderId="60" xfId="0" applyFont="1" applyFill="1" applyBorder="1" applyAlignment="1">
      <alignment horizontal="center" wrapText="1"/>
    </xf>
    <xf numFmtId="0" fontId="4" fillId="0" borderId="112" xfId="0" applyFont="1" applyFill="1" applyBorder="1" applyAlignment="1">
      <alignment horizontal="center" wrapText="1"/>
    </xf>
    <xf numFmtId="0" fontId="4" fillId="0" borderId="114" xfId="0" applyFont="1" applyFill="1" applyBorder="1"/>
    <xf numFmtId="164" fontId="1" fillId="0" borderId="60" xfId="1" applyNumberFormat="1" applyFont="1" applyFill="1" applyBorder="1"/>
    <xf numFmtId="164" fontId="1" fillId="0" borderId="112" xfId="1" applyNumberFormat="1" applyFont="1" applyFill="1" applyBorder="1"/>
    <xf numFmtId="0" fontId="4" fillId="0" borderId="115" xfId="0" applyFont="1" applyFill="1" applyBorder="1"/>
    <xf numFmtId="44" fontId="1" fillId="0" borderId="116" xfId="1" applyFont="1" applyFill="1" applyBorder="1"/>
    <xf numFmtId="164" fontId="1" fillId="0" borderId="116" xfId="1" applyNumberFormat="1" applyFont="1" applyFill="1" applyBorder="1"/>
    <xf numFmtId="164" fontId="1" fillId="0" borderId="117" xfId="1" applyNumberFormat="1" applyFont="1" applyFill="1" applyBorder="1"/>
    <xf numFmtId="44" fontId="0" fillId="0" borderId="0" xfId="1" applyFont="1" applyFill="1"/>
    <xf numFmtId="0" fontId="4" fillId="0" borderId="113" xfId="0" applyFont="1" applyFill="1" applyBorder="1" applyAlignment="1">
      <alignment horizontal="center" vertical="center"/>
    </xf>
    <xf numFmtId="0" fontId="1" fillId="0" borderId="114" xfId="0" applyFont="1" applyFill="1" applyBorder="1"/>
    <xf numFmtId="164" fontId="0" fillId="0" borderId="112" xfId="1" applyNumberFormat="1" applyFont="1" applyFill="1" applyBorder="1"/>
    <xf numFmtId="0" fontId="0" fillId="0" borderId="60" xfId="0" applyFill="1" applyBorder="1"/>
    <xf numFmtId="0" fontId="4" fillId="0" borderId="60"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12" xfId="0" applyFont="1" applyFill="1" applyBorder="1" applyAlignment="1">
      <alignment horizontal="center" vertical="center" wrapText="1"/>
    </xf>
    <xf numFmtId="0" fontId="1" fillId="0" borderId="115" xfId="0" applyFont="1" applyFill="1" applyBorder="1"/>
    <xf numFmtId="0" fontId="0" fillId="0" borderId="97" xfId="0" applyFill="1" applyBorder="1"/>
    <xf numFmtId="0" fontId="0" fillId="0" borderId="35" xfId="0" applyFill="1" applyBorder="1"/>
    <xf numFmtId="0" fontId="0" fillId="0" borderId="98" xfId="0" applyFill="1" applyBorder="1"/>
    <xf numFmtId="44" fontId="0" fillId="0" borderId="116" xfId="1" applyFont="1" applyFill="1" applyBorder="1"/>
    <xf numFmtId="0" fontId="0" fillId="0" borderId="116" xfId="0" applyFill="1" applyBorder="1"/>
    <xf numFmtId="164" fontId="0" fillId="0" borderId="116" xfId="1" applyNumberFormat="1" applyFont="1" applyFill="1" applyBorder="1"/>
    <xf numFmtId="164" fontId="0" fillId="0" borderId="117" xfId="1" applyNumberFormat="1" applyFont="1" applyFill="1" applyBorder="1"/>
    <xf numFmtId="0" fontId="1" fillId="0" borderId="119" xfId="0" applyFont="1" applyFill="1" applyBorder="1"/>
    <xf numFmtId="44" fontId="0" fillId="0" borderId="35" xfId="1" applyFont="1" applyFill="1" applyBorder="1"/>
    <xf numFmtId="164" fontId="1" fillId="0" borderId="61" xfId="1" applyNumberFormat="1" applyFont="1" applyFill="1" applyBorder="1"/>
    <xf numFmtId="164" fontId="1" fillId="0" borderId="120" xfId="1" applyNumberFormat="1" applyFont="1" applyFill="1" applyBorder="1"/>
    <xf numFmtId="164" fontId="0" fillId="0" borderId="0" xfId="1" applyNumberFormat="1" applyFont="1" applyFill="1" applyBorder="1"/>
    <xf numFmtId="44" fontId="4" fillId="0" borderId="121" xfId="1" applyFont="1" applyFill="1" applyBorder="1" applyAlignment="1">
      <alignment horizontal="center" wrapText="1"/>
    </xf>
    <xf numFmtId="0" fontId="4" fillId="0" borderId="121" xfId="0" applyFont="1" applyFill="1" applyBorder="1" applyAlignment="1">
      <alignment horizontal="center" wrapText="1"/>
    </xf>
    <xf numFmtId="0" fontId="4" fillId="0" borderId="122" xfId="0" applyFont="1" applyFill="1" applyBorder="1" applyAlignment="1">
      <alignment horizontal="center" wrapText="1"/>
    </xf>
    <xf numFmtId="0" fontId="4" fillId="0" borderId="123" xfId="0" applyFont="1" applyFill="1" applyBorder="1" applyAlignment="1">
      <alignment horizontal="center" vertical="center"/>
    </xf>
    <xf numFmtId="8" fontId="0" fillId="0" borderId="116" xfId="0" applyNumberFormat="1" applyFill="1" applyBorder="1"/>
    <xf numFmtId="0" fontId="14" fillId="5" borderId="96"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96" xfId="0" applyFont="1" applyFill="1" applyBorder="1" applyAlignment="1">
      <alignment horizontal="left" vertical="center"/>
    </xf>
    <xf numFmtId="0" fontId="14" fillId="5" borderId="0" xfId="0" applyFont="1" applyFill="1" applyBorder="1" applyAlignment="1">
      <alignment horizontal="left" vertical="center"/>
    </xf>
    <xf numFmtId="0" fontId="24" fillId="5" borderId="96" xfId="0" applyFont="1" applyFill="1" applyBorder="1" applyAlignment="1">
      <alignment horizontal="left" vertical="top" wrapText="1"/>
    </xf>
    <xf numFmtId="0" fontId="24" fillId="5" borderId="0" xfId="0" applyFont="1" applyFill="1" applyBorder="1" applyAlignment="1">
      <alignment horizontal="left" vertical="top" wrapText="1"/>
    </xf>
    <xf numFmtId="0" fontId="0" fillId="0" borderId="17" xfId="0" applyBorder="1" applyAlignment="1">
      <alignment horizontal="center" vertical="center"/>
    </xf>
    <xf numFmtId="0" fontId="0" fillId="0" borderId="72" xfId="0" applyBorder="1" applyAlignment="1">
      <alignment horizontal="center" vertical="center"/>
    </xf>
    <xf numFmtId="0" fontId="23" fillId="6" borderId="0" xfId="0" applyFont="1" applyFill="1" applyAlignment="1">
      <alignment horizontal="left"/>
    </xf>
    <xf numFmtId="0" fontId="4" fillId="0" borderId="0" xfId="0" applyFont="1" applyFill="1" applyBorder="1" applyAlignment="1">
      <alignment horizontal="center" vertical="center" wrapText="1"/>
    </xf>
    <xf numFmtId="0" fontId="5" fillId="0" borderId="0" xfId="0" applyFont="1" applyFill="1" applyAlignment="1">
      <alignment horizontal="center"/>
    </xf>
    <xf numFmtId="0" fontId="6" fillId="0" borderId="0" xfId="0" applyFont="1" applyAlignment="1">
      <alignment wrapText="1"/>
    </xf>
    <xf numFmtId="0" fontId="4" fillId="0" borderId="60" xfId="0" applyFont="1" applyBorder="1" applyAlignment="1">
      <alignment horizontal="center" vertical="center" wrapText="1"/>
    </xf>
    <xf numFmtId="0" fontId="8" fillId="6" borderId="27" xfId="0" applyFont="1" applyFill="1" applyBorder="1" applyAlignment="1">
      <alignment horizontal="center"/>
    </xf>
    <xf numFmtId="0" fontId="6" fillId="6" borderId="13" xfId="0" applyFont="1" applyFill="1" applyBorder="1"/>
    <xf numFmtId="0" fontId="6" fillId="6" borderId="9" xfId="0" applyFont="1" applyFill="1" applyBorder="1" applyAlignment="1">
      <alignment horizontal="left"/>
    </xf>
    <xf numFmtId="0" fontId="6" fillId="6" borderId="63" xfId="0" applyFont="1" applyFill="1" applyBorder="1" applyAlignment="1">
      <alignment horizontal="left"/>
    </xf>
    <xf numFmtId="8" fontId="1" fillId="6" borderId="9" xfId="0" applyNumberFormat="1" applyFont="1" applyFill="1" applyBorder="1"/>
    <xf numFmtId="8" fontId="1" fillId="6" borderId="51" xfId="0" applyNumberFormat="1" applyFont="1" applyFill="1" applyBorder="1"/>
    <xf numFmtId="8" fontId="1" fillId="6" borderId="10" xfId="0" applyNumberFormat="1" applyFont="1" applyFill="1" applyBorder="1"/>
    <xf numFmtId="0" fontId="6" fillId="6" borderId="0" xfId="0" applyFont="1" applyFill="1"/>
    <xf numFmtId="0" fontId="18" fillId="5" borderId="99" xfId="0" applyFont="1" applyFill="1" applyBorder="1" applyAlignment="1">
      <alignment horizontal="center" vertical="center" wrapText="1"/>
    </xf>
    <xf numFmtId="0" fontId="18" fillId="5" borderId="106" xfId="0" applyFont="1" applyFill="1" applyBorder="1" applyAlignment="1">
      <alignment horizontal="center" vertical="center" wrapText="1"/>
    </xf>
    <xf numFmtId="0" fontId="18" fillId="5" borderId="101" xfId="0" applyFont="1" applyFill="1" applyBorder="1" applyAlignment="1">
      <alignment horizontal="center" vertical="center" wrapText="1"/>
    </xf>
    <xf numFmtId="0" fontId="24" fillId="5" borderId="96" xfId="0" applyFont="1" applyFill="1" applyBorder="1" applyAlignment="1">
      <alignment horizontal="left" vertical="top" wrapText="1"/>
    </xf>
    <xf numFmtId="0" fontId="24" fillId="5" borderId="0" xfId="0" applyFont="1" applyFill="1" applyBorder="1" applyAlignment="1">
      <alignment horizontal="left" vertical="top" wrapText="1"/>
    </xf>
    <xf numFmtId="0" fontId="24" fillId="0" borderId="65"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55"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0" fillId="5" borderId="0" xfId="0" applyFill="1" applyBorder="1" applyAlignment="1">
      <alignment horizontal="center" vertical="center"/>
    </xf>
    <xf numFmtId="0" fontId="0" fillId="0" borderId="60" xfId="0" applyBorder="1" applyAlignment="1">
      <alignment horizontal="center" vertical="center"/>
    </xf>
    <xf numFmtId="0" fontId="14" fillId="5" borderId="96"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96" xfId="0" applyFont="1" applyFill="1" applyBorder="1" applyAlignment="1">
      <alignment horizontal="left" vertical="center"/>
    </xf>
    <xf numFmtId="0" fontId="14" fillId="5" borderId="0" xfId="0" applyFont="1" applyFill="1" applyBorder="1" applyAlignment="1">
      <alignment horizontal="left" vertical="center"/>
    </xf>
    <xf numFmtId="0" fontId="16" fillId="0" borderId="0" xfId="0" applyFont="1" applyAlignment="1">
      <alignment horizontal="center"/>
    </xf>
    <xf numFmtId="0" fontId="14" fillId="5" borderId="104" xfId="0" applyFont="1" applyFill="1" applyBorder="1" applyAlignment="1">
      <alignment horizontal="left" vertical="center" wrapText="1"/>
    </xf>
    <xf numFmtId="0" fontId="14" fillId="5" borderId="37" xfId="0" applyFont="1" applyFill="1" applyBorder="1" applyAlignment="1">
      <alignment horizontal="left" vertical="center" wrapText="1"/>
    </xf>
    <xf numFmtId="0" fontId="14" fillId="5" borderId="105" xfId="0" applyFont="1" applyFill="1" applyBorder="1" applyAlignment="1">
      <alignment horizontal="left" vertical="center" wrapText="1"/>
    </xf>
    <xf numFmtId="0" fontId="18" fillId="5" borderId="106" xfId="0" applyFont="1" applyFill="1" applyBorder="1" applyAlignment="1">
      <alignment horizontal="center" vertical="top" wrapText="1"/>
    </xf>
    <xf numFmtId="0" fontId="0" fillId="0" borderId="60" xfId="0" applyFill="1" applyBorder="1" applyAlignment="1">
      <alignment horizontal="center" vertical="center"/>
    </xf>
    <xf numFmtId="0" fontId="14" fillId="5" borderId="99" xfId="0" applyFont="1" applyFill="1" applyBorder="1" applyAlignment="1">
      <alignment horizontal="left" vertical="center" wrapText="1"/>
    </xf>
    <xf numFmtId="0" fontId="14" fillId="5" borderId="106" xfId="0" applyFont="1" applyFill="1" applyBorder="1" applyAlignment="1">
      <alignment horizontal="left" vertical="center" wrapText="1"/>
    </xf>
    <xf numFmtId="0" fontId="19" fillId="5" borderId="96" xfId="0" applyFont="1" applyFill="1" applyBorder="1" applyAlignment="1">
      <alignment horizontal="left" vertical="top" wrapText="1"/>
    </xf>
    <xf numFmtId="0" fontId="19" fillId="5" borderId="0" xfId="0" applyFont="1" applyFill="1" applyBorder="1" applyAlignment="1">
      <alignment horizontal="left" vertical="top" wrapText="1"/>
    </xf>
    <xf numFmtId="0" fontId="6" fillId="5" borderId="96" xfId="0" applyFont="1" applyFill="1" applyBorder="1" applyAlignment="1">
      <alignment horizontal="left" vertical="center" wrapText="1"/>
    </xf>
    <xf numFmtId="0" fontId="6" fillId="5" borderId="0" xfId="0" applyFont="1" applyFill="1" applyBorder="1" applyAlignment="1">
      <alignment horizontal="left" vertical="center" wrapText="1"/>
    </xf>
    <xf numFmtId="0" fontId="5" fillId="0" borderId="17" xfId="0" applyFont="1" applyBorder="1" applyAlignment="1">
      <alignment horizontal="center" vertical="center"/>
    </xf>
    <xf numFmtId="0" fontId="0" fillId="0" borderId="17" xfId="0" applyBorder="1" applyAlignment="1">
      <alignment horizontal="center" vertical="center"/>
    </xf>
    <xf numFmtId="0" fontId="0" fillId="0" borderId="72" xfId="0" applyBorder="1" applyAlignment="1">
      <alignment horizontal="center" vertical="center"/>
    </xf>
    <xf numFmtId="0" fontId="7" fillId="0" borderId="30"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07" xfId="0" applyFont="1" applyBorder="1" applyAlignment="1">
      <alignment horizontal="center" vertical="center" wrapText="1"/>
    </xf>
    <xf numFmtId="0" fontId="23" fillId="6" borderId="0" xfId="0" applyFont="1" applyFill="1" applyAlignment="1">
      <alignment horizontal="left"/>
    </xf>
    <xf numFmtId="0" fontId="23" fillId="6" borderId="0" xfId="0" applyFont="1" applyFill="1" applyAlignment="1">
      <alignment horizontal="left" wrapText="1"/>
    </xf>
    <xf numFmtId="0" fontId="5" fillId="0" borderId="0" xfId="0" applyFont="1" applyFill="1" applyAlignment="1">
      <alignment horizontal="center"/>
    </xf>
    <xf numFmtId="0" fontId="6" fillId="0" borderId="0" xfId="0" applyFont="1" applyFill="1" applyAlignment="1">
      <alignment horizontal="left" wrapText="1"/>
    </xf>
    <xf numFmtId="0" fontId="4" fillId="0" borderId="0" xfId="0" applyFont="1" applyFill="1" applyBorder="1" applyAlignment="1">
      <alignment horizontal="center" vertical="center" wrapText="1"/>
    </xf>
    <xf numFmtId="0" fontId="1" fillId="0" borderId="0" xfId="0" applyFont="1" applyFill="1" applyBorder="1" applyAlignment="1">
      <alignment vertical="center"/>
    </xf>
    <xf numFmtId="0" fontId="0" fillId="0" borderId="0" xfId="0" applyBorder="1" applyAlignment="1">
      <alignment horizontal="center" vertical="center"/>
    </xf>
    <xf numFmtId="0" fontId="7" fillId="0" borderId="5"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67" xfId="0" applyFont="1" applyBorder="1" applyAlignment="1">
      <alignment horizontal="center" vertical="center" wrapText="1"/>
    </xf>
    <xf numFmtId="49" fontId="7" fillId="0" borderId="47" xfId="0" applyNumberFormat="1" applyFont="1" applyFill="1" applyBorder="1" applyAlignment="1">
      <alignment horizontal="center" vertical="center" wrapText="1"/>
    </xf>
    <xf numFmtId="49" fontId="8" fillId="0" borderId="108" xfId="0" applyNumberFormat="1" applyFont="1" applyFill="1" applyBorder="1" applyAlignment="1">
      <alignment vertical="center"/>
    </xf>
    <xf numFmtId="0" fontId="5" fillId="7" borderId="65" xfId="0" applyFont="1" applyFill="1" applyBorder="1" applyAlignment="1">
      <alignment horizontal="left" vertical="center" wrapText="1"/>
    </xf>
    <xf numFmtId="0" fontId="5" fillId="7" borderId="1" xfId="0" applyFont="1" applyFill="1" applyBorder="1" applyAlignment="1">
      <alignment horizontal="left" vertical="center" wrapText="1"/>
    </xf>
    <xf numFmtId="0" fontId="5" fillId="7" borderId="55" xfId="0" applyFont="1" applyFill="1" applyBorder="1" applyAlignment="1">
      <alignment horizontal="left" vertical="center" wrapText="1"/>
    </xf>
    <xf numFmtId="42" fontId="7" fillId="0" borderId="70" xfId="0" applyNumberFormat="1" applyFont="1" applyBorder="1" applyAlignment="1">
      <alignment horizontal="center" vertical="center" wrapText="1"/>
    </xf>
    <xf numFmtId="42" fontId="7" fillId="0" borderId="77" xfId="0" applyNumberFormat="1" applyFont="1" applyBorder="1" applyAlignment="1">
      <alignment horizontal="center" vertical="center" wrapText="1"/>
    </xf>
    <xf numFmtId="49" fontId="8" fillId="0" borderId="108" xfId="0" applyNumberFormat="1" applyFont="1" applyFill="1" applyBorder="1" applyAlignment="1">
      <alignment vertical="center" wrapText="1"/>
    </xf>
    <xf numFmtId="0" fontId="5" fillId="7" borderId="60" xfId="0" applyFont="1" applyFill="1" applyBorder="1" applyAlignment="1">
      <alignment horizontal="left" wrapText="1"/>
    </xf>
    <xf numFmtId="0" fontId="5" fillId="0" borderId="70" xfId="0" applyFont="1" applyBorder="1" applyAlignment="1">
      <alignment horizontal="center" vertical="center" wrapText="1"/>
    </xf>
    <xf numFmtId="0" fontId="0" fillId="0" borderId="77" xfId="0" applyBorder="1" applyAlignment="1">
      <alignment vertical="center"/>
    </xf>
    <xf numFmtId="0" fontId="6" fillId="0" borderId="0" xfId="0" applyFont="1" applyAlignment="1">
      <alignment wrapText="1"/>
    </xf>
    <xf numFmtId="0" fontId="7" fillId="0" borderId="6" xfId="0" applyFont="1" applyBorder="1" applyAlignment="1">
      <alignment horizontal="center" vertical="center" wrapText="1"/>
    </xf>
    <xf numFmtId="0" fontId="5" fillId="0" borderId="71" xfId="0" applyFont="1" applyBorder="1" applyAlignment="1">
      <alignment horizontal="center" vertical="center" wrapText="1"/>
    </xf>
    <xf numFmtId="0" fontId="4" fillId="0" borderId="70" xfId="0" applyFont="1" applyBorder="1" applyAlignment="1">
      <alignment horizontal="center" vertical="center" wrapText="1"/>
    </xf>
    <xf numFmtId="0" fontId="1" fillId="0" borderId="77" xfId="0" applyFont="1" applyBorder="1" applyAlignment="1">
      <alignment vertical="center"/>
    </xf>
    <xf numFmtId="0" fontId="4" fillId="0" borderId="47" xfId="0" applyFont="1" applyBorder="1" applyAlignment="1">
      <alignment horizontal="center" vertical="center" wrapText="1"/>
    </xf>
    <xf numFmtId="0" fontId="1" fillId="0" borderId="108" xfId="0" applyFont="1" applyBorder="1" applyAlignment="1">
      <alignment vertical="center"/>
    </xf>
    <xf numFmtId="0" fontId="4" fillId="0" borderId="60" xfId="0" applyFont="1" applyBorder="1" applyAlignment="1">
      <alignment horizontal="center" vertical="center" wrapText="1"/>
    </xf>
    <xf numFmtId="0" fontId="4" fillId="0" borderId="60" xfId="0" applyFont="1" applyBorder="1" applyAlignment="1">
      <alignment horizontal="center" vertical="center"/>
    </xf>
    <xf numFmtId="0" fontId="4" fillId="0" borderId="104"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4" xfId="0" applyFont="1" applyFill="1" applyBorder="1" applyAlignment="1">
      <alignment horizontal="center" vertical="center" wrapText="1"/>
    </xf>
    <xf numFmtId="0" fontId="4" fillId="0" borderId="110" xfId="0" applyFont="1" applyBorder="1" applyAlignment="1">
      <alignment horizontal="center" vertical="center" wrapText="1"/>
    </xf>
    <xf numFmtId="0" fontId="4" fillId="0" borderId="57" xfId="0" applyFont="1" applyBorder="1" applyAlignment="1">
      <alignment horizontal="center" vertical="center"/>
    </xf>
    <xf numFmtId="0" fontId="4" fillId="0" borderId="111" xfId="0" applyFont="1" applyBorder="1" applyAlignment="1">
      <alignment horizontal="center" vertical="center"/>
    </xf>
    <xf numFmtId="0" fontId="4" fillId="0" borderId="65" xfId="0" applyFont="1" applyFill="1" applyBorder="1" applyAlignment="1">
      <alignment horizontal="center"/>
    </xf>
    <xf numFmtId="0" fontId="4" fillId="0" borderId="1" xfId="0" applyFont="1" applyFill="1" applyBorder="1" applyAlignment="1">
      <alignment horizontal="center"/>
    </xf>
    <xf numFmtId="0" fontId="4" fillId="0" borderId="55" xfId="0" applyFont="1" applyFill="1" applyBorder="1" applyAlignment="1">
      <alignment horizontal="center"/>
    </xf>
    <xf numFmtId="0" fontId="4" fillId="0" borderId="109" xfId="0" applyFont="1" applyBorder="1" applyAlignment="1">
      <alignment horizontal="center" vertical="center" wrapText="1"/>
    </xf>
  </cellXfs>
  <cellStyles count="5">
    <cellStyle name="Currency" xfId="1" builtinId="4"/>
    <cellStyle name="Hyperlink" xfId="2" builtinId="8"/>
    <cellStyle name="Normal" xfId="0" builtinId="0"/>
    <cellStyle name="Normal 2" xfId="3"/>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695884</xdr:colOff>
      <xdr:row>0</xdr:row>
      <xdr:rowOff>63874</xdr:rowOff>
    </xdr:from>
    <xdr:to>
      <xdr:col>14</xdr:col>
      <xdr:colOff>896470</xdr:colOff>
      <xdr:row>0</xdr:row>
      <xdr:rowOff>692524</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3116355" y="63874"/>
          <a:ext cx="673361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b="1" u="sng">
              <a:solidFill>
                <a:schemeClr val="tx2">
                  <a:lumMod val="50000"/>
                </a:schemeClr>
              </a:solidFill>
            </a:rPr>
            <a:t>Fall 2017</a:t>
          </a:r>
          <a:r>
            <a:rPr lang="en-US" sz="2000" b="1" u="sng" baseline="0">
              <a:solidFill>
                <a:schemeClr val="tx2">
                  <a:lumMod val="50000"/>
                </a:schemeClr>
              </a:solidFill>
            </a:rPr>
            <a:t> </a:t>
          </a:r>
          <a:r>
            <a:rPr lang="en-US" sz="2000" b="1" u="sng">
              <a:solidFill>
                <a:schemeClr val="tx2">
                  <a:lumMod val="50000"/>
                </a:schemeClr>
              </a:solidFill>
            </a:rPr>
            <a:t>CHARTER</a:t>
          </a:r>
          <a:r>
            <a:rPr lang="en-US" sz="2000" b="1" u="sng" baseline="0">
              <a:solidFill>
                <a:schemeClr val="tx2">
                  <a:lumMod val="50000"/>
                </a:schemeClr>
              </a:solidFill>
            </a:rPr>
            <a:t> APPLICATION: FINANCES TEMPLATE</a:t>
          </a:r>
          <a:endParaRPr lang="en-US" sz="2000" b="1" u="none" baseline="0">
            <a:solidFill>
              <a:schemeClr val="tx2">
                <a:lumMod val="50000"/>
              </a:schemeClr>
            </a:solidFill>
          </a:endParaRPr>
        </a:p>
      </xdr:txBody>
    </xdr:sp>
    <xdr:clientData/>
  </xdr:twoCellAnchor>
  <xdr:twoCellAnchor editAs="oneCell">
    <xdr:from>
      <xdr:col>2</xdr:col>
      <xdr:colOff>66675</xdr:colOff>
      <xdr:row>0</xdr:row>
      <xdr:rowOff>66675</xdr:rowOff>
    </xdr:from>
    <xdr:to>
      <xdr:col>4</xdr:col>
      <xdr:colOff>28575</xdr:colOff>
      <xdr:row>2</xdr:row>
      <xdr:rowOff>66675</xdr:rowOff>
    </xdr:to>
    <xdr:pic>
      <xdr:nvPicPr>
        <xdr:cNvPr id="7184" name="Picture 3">
          <a:extLst>
            <a:ext uri="{FF2B5EF4-FFF2-40B4-BE49-F238E27FC236}">
              <a16:creationId xmlns:a16="http://schemas.microsoft.com/office/drawing/2014/main" xmlns="" id="{00000000-0008-0000-0000-00001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66675"/>
          <a:ext cx="118110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hoicefoundationinc-my.sharepoint.com/Users/James/Desktop/Dunbar%20Charter/~1513787674~CF_Detail%2010.12.2017%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 Descriptions"/>
      <sheetName val="IS - Summ"/>
      <sheetName val="IS - Detail"/>
      <sheetName val="MFP Calc (new)"/>
      <sheetName val="Personnel"/>
      <sheetName val="EGMS"/>
      <sheetName val="Dunbar Enrollment Projections"/>
    </sheetNames>
    <sheetDataSet>
      <sheetData sheetId="0"/>
      <sheetData sheetId="1"/>
      <sheetData sheetId="2"/>
      <sheetData sheetId="3">
        <row r="73">
          <cell r="I73">
            <v>2161895</v>
          </cell>
        </row>
        <row r="75">
          <cell r="I75">
            <v>1766855.6143234726</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louisianabelieves.com/docs/default-source/school-choice/revenue-projection-model-for-2015-state-authorized-charter-applicants.xlsx?sfvrsn=2" TargetMode="External"/><Relationship Id="rId1" Type="http://schemas.openxmlformats.org/officeDocument/2006/relationships/hyperlink" Target="http://www.doa.louisiana.gov/cdbg/lgap/laugh.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Q45"/>
  <sheetViews>
    <sheetView topLeftCell="A7" zoomScale="85" zoomScaleNormal="85" zoomScalePageLayoutView="85" workbookViewId="0">
      <selection activeCell="B35" sqref="B35:P35"/>
    </sheetView>
  </sheetViews>
  <sheetFormatPr defaultColWidth="8.85546875" defaultRowHeight="12.75" x14ac:dyDescent="0.2"/>
  <cols>
    <col min="5" max="5" width="11.7109375" customWidth="1"/>
    <col min="6" max="6" width="12.42578125" bestFit="1" customWidth="1"/>
    <col min="10" max="10" width="10.7109375" customWidth="1"/>
    <col min="12" max="12" width="5.140625" customWidth="1"/>
    <col min="14" max="14" width="12.28515625" customWidth="1"/>
    <col min="15" max="16" width="13.85546875" customWidth="1"/>
    <col min="17" max="17" width="5.42578125" customWidth="1"/>
  </cols>
  <sheetData>
    <row r="1" spans="2:17" ht="68.25" customHeight="1" x14ac:dyDescent="0.2"/>
    <row r="2" spans="2:17" ht="25.5" x14ac:dyDescent="0.35">
      <c r="B2" s="585" t="s">
        <v>0</v>
      </c>
      <c r="C2" s="585"/>
      <c r="D2" s="585"/>
      <c r="E2" s="585"/>
      <c r="F2" s="585"/>
      <c r="G2" s="585"/>
      <c r="H2" s="585"/>
      <c r="I2" s="585"/>
      <c r="J2" s="585"/>
      <c r="K2" s="585"/>
      <c r="L2" s="585"/>
      <c r="M2" s="585"/>
      <c r="N2" s="585"/>
      <c r="O2" s="585"/>
      <c r="P2" s="585"/>
      <c r="Q2" s="585"/>
    </row>
    <row r="3" spans="2:17" ht="13.5" thickBot="1" x14ac:dyDescent="0.25"/>
    <row r="4" spans="2:17" ht="33" customHeight="1" x14ac:dyDescent="0.2">
      <c r="B4" s="586" t="s">
        <v>1</v>
      </c>
      <c r="C4" s="587"/>
      <c r="D4" s="587"/>
      <c r="E4" s="587"/>
      <c r="F4" s="587"/>
      <c r="G4" s="587"/>
      <c r="H4" s="587"/>
      <c r="I4" s="587"/>
      <c r="J4" s="587"/>
      <c r="K4" s="587"/>
      <c r="L4" s="587"/>
      <c r="M4" s="587"/>
      <c r="N4" s="587"/>
      <c r="O4" s="587"/>
      <c r="P4" s="587"/>
      <c r="Q4" s="588"/>
    </row>
    <row r="5" spans="2:17" ht="15.75" thickBot="1" x14ac:dyDescent="0.25">
      <c r="B5" s="549"/>
      <c r="C5" s="550"/>
      <c r="D5" s="550"/>
      <c r="E5" s="550"/>
      <c r="F5" s="550"/>
      <c r="G5" s="550"/>
      <c r="H5" s="550"/>
      <c r="I5" s="550"/>
      <c r="J5" s="550"/>
      <c r="K5" s="550"/>
      <c r="L5" s="550"/>
      <c r="M5" s="550"/>
      <c r="N5" s="550"/>
      <c r="O5" s="550"/>
      <c r="P5" s="550"/>
      <c r="Q5" s="320"/>
    </row>
    <row r="6" spans="2:17" ht="22.5" customHeight="1" x14ac:dyDescent="0.2">
      <c r="B6" s="377"/>
      <c r="C6" s="589" t="s">
        <v>2</v>
      </c>
      <c r="D6" s="589"/>
      <c r="E6" s="589"/>
      <c r="F6" s="589"/>
      <c r="G6" s="589"/>
      <c r="H6" s="589"/>
      <c r="I6" s="589"/>
      <c r="J6" s="589"/>
      <c r="K6" s="589"/>
      <c r="L6" s="589"/>
      <c r="M6" s="589"/>
      <c r="N6" s="589"/>
      <c r="O6" s="589"/>
      <c r="P6" s="589"/>
      <c r="Q6" s="335"/>
    </row>
    <row r="7" spans="2:17" ht="24" customHeight="1" x14ac:dyDescent="0.2">
      <c r="B7" s="581"/>
      <c r="C7" s="582"/>
      <c r="D7" s="582"/>
      <c r="E7" s="582"/>
      <c r="F7" s="582"/>
      <c r="G7" s="582"/>
      <c r="H7" s="582"/>
      <c r="I7" s="582"/>
      <c r="J7" s="582"/>
      <c r="K7" s="582"/>
      <c r="L7" s="582"/>
      <c r="M7" s="582"/>
      <c r="N7" s="582"/>
      <c r="O7" s="582"/>
      <c r="P7" s="582"/>
      <c r="Q7" s="320"/>
    </row>
    <row r="8" spans="2:17" ht="14.25" customHeight="1" x14ac:dyDescent="0.2">
      <c r="B8" s="593" t="s">
        <v>3</v>
      </c>
      <c r="C8" s="594"/>
      <c r="D8" s="594"/>
      <c r="E8" s="594"/>
      <c r="F8" s="594"/>
      <c r="G8" s="594"/>
      <c r="H8" s="594"/>
      <c r="I8" s="594"/>
      <c r="J8" s="594"/>
      <c r="K8" s="594"/>
      <c r="L8" s="332"/>
      <c r="M8" s="580" t="s">
        <v>4</v>
      </c>
      <c r="N8" s="580"/>
      <c r="O8" s="333">
        <v>7500</v>
      </c>
      <c r="P8" s="332"/>
      <c r="Q8" s="320"/>
    </row>
    <row r="9" spans="2:17" ht="14.25" customHeight="1" x14ac:dyDescent="0.2">
      <c r="B9" s="593"/>
      <c r="C9" s="594"/>
      <c r="D9" s="594"/>
      <c r="E9" s="594"/>
      <c r="F9" s="594"/>
      <c r="G9" s="594"/>
      <c r="H9" s="594"/>
      <c r="I9" s="594"/>
      <c r="J9" s="594"/>
      <c r="K9" s="594"/>
      <c r="L9" s="550"/>
      <c r="M9" s="580" t="s">
        <v>5</v>
      </c>
      <c r="N9" s="580"/>
      <c r="O9" s="333">
        <v>7800</v>
      </c>
      <c r="P9" s="550"/>
      <c r="Q9" s="320"/>
    </row>
    <row r="10" spans="2:17" ht="14.25" customHeight="1" x14ac:dyDescent="0.2">
      <c r="B10" s="593"/>
      <c r="C10" s="594"/>
      <c r="D10" s="594"/>
      <c r="E10" s="594"/>
      <c r="F10" s="594"/>
      <c r="G10" s="594"/>
      <c r="H10" s="594"/>
      <c r="I10" s="594"/>
      <c r="J10" s="594"/>
      <c r="K10" s="594"/>
      <c r="L10" s="550"/>
      <c r="M10" s="580" t="s">
        <v>6</v>
      </c>
      <c r="N10" s="580"/>
      <c r="O10" s="333">
        <v>1500</v>
      </c>
      <c r="P10" s="550"/>
      <c r="Q10" s="320"/>
    </row>
    <row r="11" spans="2:17" ht="14.25" customHeight="1" x14ac:dyDescent="0.2">
      <c r="B11" s="593"/>
      <c r="C11" s="594"/>
      <c r="D11" s="594"/>
      <c r="E11" s="594"/>
      <c r="F11" s="594"/>
      <c r="G11" s="594"/>
      <c r="H11" s="594"/>
      <c r="I11" s="594"/>
      <c r="J11" s="594"/>
      <c r="K11" s="594"/>
      <c r="L11" s="550"/>
      <c r="M11" s="580" t="s">
        <v>7</v>
      </c>
      <c r="N11" s="580"/>
      <c r="O11" s="333">
        <v>8800</v>
      </c>
      <c r="P11" s="550"/>
      <c r="Q11" s="320"/>
    </row>
    <row r="12" spans="2:17" ht="14.25" customHeight="1" x14ac:dyDescent="0.2">
      <c r="B12" s="593"/>
      <c r="C12" s="594"/>
      <c r="D12" s="594"/>
      <c r="E12" s="594"/>
      <c r="F12" s="594"/>
      <c r="G12" s="594"/>
      <c r="H12" s="594"/>
      <c r="I12" s="594"/>
      <c r="J12" s="594"/>
      <c r="K12" s="594"/>
      <c r="L12" s="550"/>
      <c r="M12" s="580" t="s">
        <v>8</v>
      </c>
      <c r="N12" s="580"/>
      <c r="O12" s="333">
        <v>14000</v>
      </c>
      <c r="P12" s="550"/>
      <c r="Q12" s="320"/>
    </row>
    <row r="13" spans="2:17" ht="14.25" customHeight="1" x14ac:dyDescent="0.2">
      <c r="B13" s="593"/>
      <c r="C13" s="594"/>
      <c r="D13" s="594"/>
      <c r="E13" s="594"/>
      <c r="F13" s="594"/>
      <c r="G13" s="594"/>
      <c r="H13" s="594"/>
      <c r="I13" s="594"/>
      <c r="J13" s="594"/>
      <c r="K13" s="594"/>
      <c r="L13" s="550"/>
      <c r="M13" s="580" t="s">
        <v>9</v>
      </c>
      <c r="N13" s="580"/>
      <c r="O13" s="333">
        <v>16200</v>
      </c>
      <c r="P13" s="550"/>
      <c r="Q13" s="320"/>
    </row>
    <row r="14" spans="2:17" ht="14.25" customHeight="1" x14ac:dyDescent="0.2">
      <c r="B14" s="593"/>
      <c r="C14" s="594"/>
      <c r="D14" s="594"/>
      <c r="E14" s="594"/>
      <c r="F14" s="594"/>
      <c r="G14" s="594"/>
      <c r="H14" s="594"/>
      <c r="I14" s="594"/>
      <c r="J14" s="594"/>
      <c r="K14" s="594"/>
      <c r="L14" s="550"/>
      <c r="M14" s="590" t="s">
        <v>10</v>
      </c>
      <c r="N14" s="590"/>
      <c r="O14" s="333">
        <v>22400</v>
      </c>
      <c r="P14" s="550"/>
      <c r="Q14" s="320"/>
    </row>
    <row r="15" spans="2:17" ht="14.25" customHeight="1" x14ac:dyDescent="0.2">
      <c r="B15" s="593"/>
      <c r="C15" s="594"/>
      <c r="D15" s="594"/>
      <c r="E15" s="594"/>
      <c r="F15" s="594"/>
      <c r="G15" s="594"/>
      <c r="H15" s="594"/>
      <c r="I15" s="594"/>
      <c r="J15" s="594"/>
      <c r="K15" s="594"/>
      <c r="L15" s="550"/>
      <c r="M15" s="590" t="s">
        <v>11</v>
      </c>
      <c r="N15" s="590"/>
      <c r="O15" s="333">
        <v>375</v>
      </c>
      <c r="P15" s="550"/>
      <c r="Q15" s="320"/>
    </row>
    <row r="16" spans="2:17" ht="14.25" customHeight="1" x14ac:dyDescent="0.2">
      <c r="B16" s="593"/>
      <c r="C16" s="594"/>
      <c r="D16" s="594"/>
      <c r="E16" s="594"/>
      <c r="F16" s="594"/>
      <c r="G16" s="594"/>
      <c r="H16" s="594"/>
      <c r="I16" s="594"/>
      <c r="J16" s="594"/>
      <c r="K16" s="594"/>
      <c r="L16" s="550"/>
      <c r="M16" s="590" t="s">
        <v>12</v>
      </c>
      <c r="N16" s="590"/>
      <c r="O16" s="333">
        <v>2200</v>
      </c>
      <c r="P16" s="550"/>
      <c r="Q16" s="320"/>
    </row>
    <row r="17" spans="2:17" ht="14.25" customHeight="1" x14ac:dyDescent="0.2">
      <c r="B17" s="593"/>
      <c r="C17" s="594"/>
      <c r="D17" s="594"/>
      <c r="E17" s="594"/>
      <c r="F17" s="594"/>
      <c r="G17" s="594"/>
      <c r="H17" s="594"/>
      <c r="I17" s="594"/>
      <c r="J17" s="594"/>
      <c r="K17" s="594"/>
      <c r="L17" s="550"/>
      <c r="M17" s="590" t="s">
        <v>13</v>
      </c>
      <c r="N17" s="590"/>
      <c r="O17" s="333">
        <v>1700</v>
      </c>
      <c r="P17" s="550"/>
      <c r="Q17" s="320"/>
    </row>
    <row r="18" spans="2:17" ht="15.75" customHeight="1" thickBot="1" x14ac:dyDescent="0.25">
      <c r="B18" s="336"/>
      <c r="C18" s="334"/>
      <c r="D18" s="334"/>
      <c r="E18" s="334"/>
      <c r="F18" s="334"/>
      <c r="G18" s="334"/>
      <c r="H18" s="334"/>
      <c r="I18" s="334"/>
      <c r="J18" s="334"/>
      <c r="K18" s="334"/>
      <c r="L18" s="334"/>
      <c r="M18" s="334"/>
      <c r="N18" s="334"/>
      <c r="O18" s="334"/>
      <c r="P18" s="334"/>
      <c r="Q18" s="337"/>
    </row>
    <row r="19" spans="2:17" ht="106.5" customHeight="1" thickBot="1" x14ac:dyDescent="0.25">
      <c r="B19" s="595" t="s">
        <v>14</v>
      </c>
      <c r="C19" s="596"/>
      <c r="D19" s="596"/>
      <c r="E19" s="596"/>
      <c r="F19" s="596"/>
      <c r="G19" s="578" t="s">
        <v>15</v>
      </c>
      <c r="H19" s="579"/>
      <c r="I19" s="579"/>
      <c r="J19" s="579"/>
      <c r="K19" s="579"/>
      <c r="L19" s="578" t="s">
        <v>16</v>
      </c>
      <c r="M19" s="579"/>
      <c r="N19" s="579"/>
      <c r="O19" s="579"/>
      <c r="P19" s="550"/>
      <c r="Q19" s="320"/>
    </row>
    <row r="20" spans="2:17" ht="31.5" customHeight="1" x14ac:dyDescent="0.2">
      <c r="B20" s="570" t="s">
        <v>17</v>
      </c>
      <c r="C20" s="571"/>
      <c r="D20" s="571"/>
      <c r="E20" s="571"/>
      <c r="F20" s="571"/>
      <c r="G20" s="571"/>
      <c r="H20" s="571"/>
      <c r="I20" s="571"/>
      <c r="J20" s="571"/>
      <c r="K20" s="571"/>
      <c r="L20" s="571"/>
      <c r="M20" s="571"/>
      <c r="N20" s="571"/>
      <c r="O20" s="571"/>
      <c r="P20" s="571"/>
      <c r="Q20" s="572"/>
    </row>
    <row r="21" spans="2:17" ht="81.75" customHeight="1" x14ac:dyDescent="0.2">
      <c r="B21" s="573" t="s">
        <v>18</v>
      </c>
      <c r="C21" s="574"/>
      <c r="D21" s="574"/>
      <c r="E21" s="574"/>
      <c r="F21" s="574"/>
      <c r="G21" s="574"/>
      <c r="H21" s="574"/>
      <c r="I21" s="574"/>
      <c r="J21" s="574"/>
      <c r="K21" s="574"/>
      <c r="L21" s="338"/>
      <c r="M21" s="575" t="s">
        <v>19</v>
      </c>
      <c r="N21" s="576"/>
      <c r="O21" s="577"/>
      <c r="P21" s="550"/>
      <c r="Q21" s="320"/>
    </row>
    <row r="22" spans="2:17" ht="15" customHeight="1" thickBot="1" x14ac:dyDescent="0.25">
      <c r="B22" s="553"/>
      <c r="C22" s="554"/>
      <c r="D22" s="554"/>
      <c r="E22" s="554"/>
      <c r="F22" s="554"/>
      <c r="G22" s="554"/>
      <c r="H22" s="554"/>
      <c r="I22" s="554"/>
      <c r="J22" s="554"/>
      <c r="K22" s="554"/>
      <c r="L22" s="338"/>
      <c r="M22" s="554"/>
      <c r="N22" s="554"/>
      <c r="O22" s="554"/>
      <c r="P22" s="550"/>
      <c r="Q22" s="320"/>
    </row>
    <row r="23" spans="2:17" ht="15" x14ac:dyDescent="0.2">
      <c r="B23" s="591" t="s">
        <v>20</v>
      </c>
      <c r="C23" s="592"/>
      <c r="D23" s="592"/>
      <c r="E23" s="592"/>
      <c r="F23" s="592"/>
      <c r="G23" s="592"/>
      <c r="H23" s="592"/>
      <c r="I23" s="592"/>
      <c r="J23" s="592"/>
      <c r="K23" s="592"/>
      <c r="L23" s="592"/>
      <c r="M23" s="592"/>
      <c r="N23" s="592"/>
      <c r="O23" s="592"/>
      <c r="P23" s="592"/>
      <c r="Q23" s="335"/>
    </row>
    <row r="24" spans="2:17" ht="15" x14ac:dyDescent="0.2">
      <c r="B24" s="583" t="s">
        <v>21</v>
      </c>
      <c r="C24" s="584"/>
      <c r="D24" s="584"/>
      <c r="E24" s="584"/>
      <c r="F24" s="584"/>
      <c r="G24" s="584"/>
      <c r="H24" s="584"/>
      <c r="I24" s="584"/>
      <c r="J24" s="584"/>
      <c r="K24" s="321" t="s">
        <v>22</v>
      </c>
      <c r="L24" s="550"/>
      <c r="M24" s="550"/>
      <c r="N24" s="550"/>
      <c r="O24" s="550"/>
      <c r="P24" s="550"/>
      <c r="Q24" s="320"/>
    </row>
    <row r="25" spans="2:17" ht="15" x14ac:dyDescent="0.2">
      <c r="B25" s="551" t="s">
        <v>23</v>
      </c>
      <c r="C25" s="552"/>
      <c r="D25" s="552"/>
      <c r="E25" s="552"/>
      <c r="F25" s="552"/>
      <c r="G25" s="552"/>
      <c r="H25" s="552"/>
      <c r="I25" s="552"/>
      <c r="J25" s="552"/>
      <c r="K25" s="321"/>
      <c r="L25" s="550"/>
      <c r="M25" s="321" t="s">
        <v>22</v>
      </c>
      <c r="N25" s="550"/>
      <c r="O25" s="550"/>
      <c r="P25" s="550"/>
      <c r="Q25" s="320"/>
    </row>
    <row r="26" spans="2:17" ht="30" customHeight="1" x14ac:dyDescent="0.2">
      <c r="B26" s="322"/>
      <c r="C26" s="323"/>
      <c r="D26" s="323"/>
      <c r="E26" s="323"/>
      <c r="F26" s="323"/>
      <c r="G26" s="323"/>
      <c r="H26" s="323"/>
      <c r="I26" s="323"/>
      <c r="J26" s="323"/>
      <c r="K26" s="323"/>
      <c r="L26" s="323"/>
      <c r="M26" s="323"/>
      <c r="N26" s="323"/>
      <c r="O26" s="323"/>
      <c r="P26" s="323"/>
      <c r="Q26" s="320"/>
    </row>
    <row r="27" spans="2:17" ht="15" x14ac:dyDescent="0.2">
      <c r="B27" s="581" t="s">
        <v>24</v>
      </c>
      <c r="C27" s="582"/>
      <c r="D27" s="582"/>
      <c r="E27" s="582"/>
      <c r="F27" s="582"/>
      <c r="G27" s="582"/>
      <c r="H27" s="582"/>
      <c r="I27" s="582"/>
      <c r="J27" s="582"/>
      <c r="K27" s="582"/>
      <c r="L27" s="582"/>
      <c r="M27" s="582"/>
      <c r="N27" s="582"/>
      <c r="O27" s="582"/>
      <c r="P27" s="582"/>
      <c r="Q27" s="320"/>
    </row>
    <row r="28" spans="2:17" ht="22.5" customHeight="1" x14ac:dyDescent="0.2">
      <c r="B28" s="583"/>
      <c r="C28" s="584"/>
      <c r="D28" s="584"/>
      <c r="E28" s="584"/>
      <c r="F28" s="584"/>
      <c r="G28" s="584"/>
      <c r="H28" s="584"/>
      <c r="I28" s="584"/>
      <c r="J28" s="584"/>
      <c r="K28" s="584"/>
      <c r="L28" s="584"/>
      <c r="M28" s="584"/>
      <c r="N28" s="584"/>
      <c r="O28" s="584"/>
      <c r="P28" s="584"/>
      <c r="Q28" s="320"/>
    </row>
    <row r="29" spans="2:17" ht="15" x14ac:dyDescent="0.2">
      <c r="B29" s="581" t="s">
        <v>25</v>
      </c>
      <c r="C29" s="582"/>
      <c r="D29" s="582"/>
      <c r="E29" s="582"/>
      <c r="F29" s="582"/>
      <c r="G29" s="582"/>
      <c r="H29" s="582"/>
      <c r="I29" s="582"/>
      <c r="J29" s="582"/>
      <c r="K29" s="582"/>
      <c r="L29" s="582"/>
      <c r="M29" s="582"/>
      <c r="N29" s="582"/>
      <c r="O29" s="582"/>
      <c r="P29" s="582"/>
      <c r="Q29" s="320"/>
    </row>
    <row r="30" spans="2:17" ht="21.75" customHeight="1" x14ac:dyDescent="0.2">
      <c r="B30" s="549"/>
      <c r="C30" s="550"/>
      <c r="D30" s="550"/>
      <c r="E30" s="550"/>
      <c r="F30" s="550"/>
      <c r="G30" s="550"/>
      <c r="H30" s="550"/>
      <c r="I30" s="550"/>
      <c r="J30" s="550"/>
      <c r="K30" s="550"/>
      <c r="L30" s="550"/>
      <c r="M30" s="550"/>
      <c r="N30" s="550"/>
      <c r="O30" s="550"/>
      <c r="P30" s="550"/>
      <c r="Q30" s="320"/>
    </row>
    <row r="31" spans="2:17" ht="15" x14ac:dyDescent="0.2">
      <c r="B31" s="581" t="s">
        <v>26</v>
      </c>
      <c r="C31" s="582"/>
      <c r="D31" s="582"/>
      <c r="E31" s="582"/>
      <c r="F31" s="582"/>
      <c r="G31" s="582"/>
      <c r="H31" s="582"/>
      <c r="I31" s="582"/>
      <c r="J31" s="582"/>
      <c r="K31" s="582"/>
      <c r="L31" s="582"/>
      <c r="M31" s="582"/>
      <c r="N31" s="582"/>
      <c r="O31" s="582"/>
      <c r="P31" s="582"/>
      <c r="Q31" s="320"/>
    </row>
    <row r="32" spans="2:17" ht="29.25" customHeight="1" x14ac:dyDescent="0.2">
      <c r="B32" s="324"/>
      <c r="C32" s="323"/>
      <c r="D32" s="323"/>
      <c r="E32" s="323"/>
      <c r="F32" s="323"/>
      <c r="G32" s="323"/>
      <c r="H32" s="323"/>
      <c r="I32" s="323"/>
      <c r="J32" s="323"/>
      <c r="K32" s="323"/>
      <c r="L32" s="323"/>
      <c r="M32" s="323"/>
      <c r="N32" s="323"/>
      <c r="O32" s="323"/>
      <c r="P32" s="323"/>
      <c r="Q32" s="320"/>
    </row>
    <row r="33" spans="2:17" ht="15" x14ac:dyDescent="0.2">
      <c r="B33" s="581" t="s">
        <v>27</v>
      </c>
      <c r="C33" s="582"/>
      <c r="D33" s="582"/>
      <c r="E33" s="582"/>
      <c r="F33" s="582"/>
      <c r="G33" s="582"/>
      <c r="H33" s="582"/>
      <c r="I33" s="582"/>
      <c r="J33" s="582"/>
      <c r="K33" s="582"/>
      <c r="L33" s="582"/>
      <c r="M33" s="582"/>
      <c r="N33" s="582"/>
      <c r="O33" s="582"/>
      <c r="P33" s="582"/>
      <c r="Q33" s="320"/>
    </row>
    <row r="34" spans="2:17" ht="27.75" customHeight="1" x14ac:dyDescent="0.2">
      <c r="B34" s="324"/>
      <c r="C34" s="323"/>
      <c r="D34" s="323"/>
      <c r="E34" s="323"/>
      <c r="F34" s="323"/>
      <c r="G34" s="323"/>
      <c r="H34" s="323"/>
      <c r="I34" s="323"/>
      <c r="J34" s="323"/>
      <c r="K34" s="323"/>
      <c r="L34" s="323"/>
      <c r="M34" s="323"/>
      <c r="N34" s="323"/>
      <c r="O34" s="323"/>
      <c r="P34" s="323"/>
      <c r="Q34" s="320"/>
    </row>
    <row r="35" spans="2:17" ht="31.5" customHeight="1" thickBot="1" x14ac:dyDescent="0.25">
      <c r="B35" s="581" t="s">
        <v>28</v>
      </c>
      <c r="C35" s="582"/>
      <c r="D35" s="582"/>
      <c r="E35" s="582"/>
      <c r="F35" s="582"/>
      <c r="G35" s="582"/>
      <c r="H35" s="582"/>
      <c r="I35" s="582"/>
      <c r="J35" s="582"/>
      <c r="K35" s="582"/>
      <c r="L35" s="582"/>
      <c r="M35" s="582"/>
      <c r="N35" s="582"/>
      <c r="O35" s="582"/>
      <c r="P35" s="582"/>
      <c r="Q35" s="327"/>
    </row>
    <row r="36" spans="2:17" ht="13.5" thickBot="1" x14ac:dyDescent="0.25">
      <c r="B36" s="325"/>
      <c r="C36" s="326"/>
      <c r="D36" s="326"/>
      <c r="E36" s="326"/>
      <c r="F36" s="326"/>
      <c r="G36" s="326"/>
      <c r="H36" s="326"/>
      <c r="I36" s="326"/>
      <c r="J36" s="326"/>
      <c r="K36" s="326"/>
      <c r="L36" s="326"/>
      <c r="M36" s="326"/>
      <c r="N36" s="326"/>
      <c r="O36" s="326"/>
      <c r="P36" s="326"/>
    </row>
    <row r="37" spans="2:17" x14ac:dyDescent="0.2">
      <c r="B37" s="319"/>
    </row>
    <row r="38" spans="2:17" x14ac:dyDescent="0.2">
      <c r="B38" s="319"/>
    </row>
    <row r="39" spans="2:17" x14ac:dyDescent="0.2">
      <c r="B39" s="319"/>
    </row>
    <row r="40" spans="2:17" x14ac:dyDescent="0.2">
      <c r="B40" s="319"/>
    </row>
    <row r="41" spans="2:17" x14ac:dyDescent="0.2">
      <c r="B41" s="319"/>
    </row>
    <row r="42" spans="2:17" x14ac:dyDescent="0.2">
      <c r="B42" s="319"/>
    </row>
    <row r="43" spans="2:17" x14ac:dyDescent="0.2">
      <c r="B43" s="319"/>
    </row>
    <row r="44" spans="2:17" x14ac:dyDescent="0.2">
      <c r="B44" s="319"/>
    </row>
    <row r="45" spans="2:17" x14ac:dyDescent="0.2">
      <c r="B45" s="319"/>
    </row>
  </sheetData>
  <mergeCells count="29">
    <mergeCell ref="B2:Q2"/>
    <mergeCell ref="B4:Q4"/>
    <mergeCell ref="C6:P6"/>
    <mergeCell ref="B29:P29"/>
    <mergeCell ref="B24:J24"/>
    <mergeCell ref="M14:N14"/>
    <mergeCell ref="M15:N15"/>
    <mergeCell ref="B23:P23"/>
    <mergeCell ref="B7:P7"/>
    <mergeCell ref="M8:N8"/>
    <mergeCell ref="M16:N16"/>
    <mergeCell ref="M17:N17"/>
    <mergeCell ref="B8:K17"/>
    <mergeCell ref="B19:F19"/>
    <mergeCell ref="M9:N9"/>
    <mergeCell ref="G19:K19"/>
    <mergeCell ref="B35:P35"/>
    <mergeCell ref="B33:P33"/>
    <mergeCell ref="B31:P31"/>
    <mergeCell ref="B28:P28"/>
    <mergeCell ref="B27:P27"/>
    <mergeCell ref="B20:Q20"/>
    <mergeCell ref="B21:K21"/>
    <mergeCell ref="M21:O21"/>
    <mergeCell ref="L19:O19"/>
    <mergeCell ref="M10:N10"/>
    <mergeCell ref="M11:N11"/>
    <mergeCell ref="M12:N12"/>
    <mergeCell ref="M13:N13"/>
  </mergeCells>
  <hyperlinks>
    <hyperlink ref="K24" r:id="rId1"/>
    <hyperlink ref="M25" r:id="rId2"/>
  </hyperlinks>
  <pageMargins left="0.7" right="0.7" top="0.75" bottom="0.75" header="0.3" footer="0.3"/>
  <pageSetup scale="70" orientation="landscape"/>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H52"/>
  <sheetViews>
    <sheetView topLeftCell="A22" zoomScale="87" zoomScaleNormal="87" workbookViewId="0">
      <selection activeCell="D1" sqref="D1:G1"/>
    </sheetView>
  </sheetViews>
  <sheetFormatPr defaultColWidth="8.85546875" defaultRowHeight="12.75" x14ac:dyDescent="0.2"/>
  <cols>
    <col min="1" max="1" width="4.140625" customWidth="1"/>
    <col min="2" max="2" width="4.42578125" customWidth="1"/>
    <col min="6" max="6" width="19.42578125" customWidth="1"/>
    <col min="7" max="7" width="0.42578125" customWidth="1"/>
    <col min="8" max="8" width="71.42578125" bestFit="1" customWidth="1"/>
  </cols>
  <sheetData>
    <row r="1" spans="1:8" ht="15" x14ac:dyDescent="0.25">
      <c r="A1" s="329" t="s">
        <v>29</v>
      </c>
      <c r="B1" s="330"/>
      <c r="C1" s="330"/>
      <c r="D1" s="604" t="s">
        <v>562</v>
      </c>
      <c r="E1" s="604"/>
      <c r="F1" s="604"/>
      <c r="G1" s="604"/>
      <c r="H1" s="5"/>
    </row>
    <row r="2" spans="1:8" ht="30.75" customHeight="1" x14ac:dyDescent="0.25">
      <c r="A2" s="8" t="s">
        <v>30</v>
      </c>
      <c r="B2" s="21"/>
      <c r="C2" s="21"/>
      <c r="D2" s="5"/>
      <c r="E2" s="5"/>
      <c r="F2" s="5"/>
      <c r="G2" s="5"/>
      <c r="H2" s="5"/>
    </row>
    <row r="3" spans="1:8" ht="15.75" thickBot="1" x14ac:dyDescent="0.3">
      <c r="A3" s="27"/>
      <c r="B3" s="21"/>
      <c r="C3" s="21"/>
      <c r="D3" s="5"/>
      <c r="E3" s="5"/>
      <c r="F3" s="5"/>
      <c r="G3" s="5"/>
      <c r="H3" s="5"/>
    </row>
    <row r="4" spans="1:8" ht="13.5" customHeight="1" thickTop="1" x14ac:dyDescent="0.2">
      <c r="A4" s="177"/>
      <c r="B4" s="597" t="s">
        <v>31</v>
      </c>
      <c r="C4" s="598"/>
      <c r="D4" s="598"/>
      <c r="E4" s="555"/>
      <c r="F4" s="600" t="s">
        <v>32</v>
      </c>
      <c r="G4" s="178"/>
      <c r="H4" s="602" t="s">
        <v>33</v>
      </c>
    </row>
    <row r="5" spans="1:8" ht="13.5" thickBot="1" x14ac:dyDescent="0.25">
      <c r="A5" s="179"/>
      <c r="B5" s="599"/>
      <c r="C5" s="599"/>
      <c r="D5" s="599"/>
      <c r="E5" s="556"/>
      <c r="F5" s="601"/>
      <c r="G5" s="180"/>
      <c r="H5" s="603"/>
    </row>
    <row r="6" spans="1:8" ht="15.75" thickTop="1" x14ac:dyDescent="0.25">
      <c r="A6" s="33"/>
      <c r="B6" s="132" t="s">
        <v>34</v>
      </c>
      <c r="C6" s="24"/>
      <c r="D6" s="24"/>
      <c r="E6" s="24"/>
      <c r="F6" s="181"/>
      <c r="G6" s="182"/>
      <c r="H6" s="183"/>
    </row>
    <row r="7" spans="1:8" ht="14.25" x14ac:dyDescent="0.2">
      <c r="A7" s="205">
        <v>1</v>
      </c>
      <c r="B7" s="36"/>
      <c r="C7" s="9" t="s">
        <v>35</v>
      </c>
      <c r="D7" s="9"/>
      <c r="E7" s="9"/>
      <c r="F7" s="184">
        <v>300000</v>
      </c>
      <c r="G7" s="185"/>
      <c r="H7" s="19" t="s">
        <v>36</v>
      </c>
    </row>
    <row r="8" spans="1:8" ht="14.25" x14ac:dyDescent="0.2">
      <c r="A8" s="205">
        <v>2</v>
      </c>
      <c r="B8" s="36"/>
      <c r="C8" s="9" t="s">
        <v>37</v>
      </c>
      <c r="D8" s="9"/>
      <c r="E8" s="9"/>
      <c r="F8" s="184"/>
      <c r="G8" s="185"/>
      <c r="H8" s="19"/>
    </row>
    <row r="9" spans="1:8" ht="14.25" x14ac:dyDescent="0.2">
      <c r="A9" s="205"/>
      <c r="B9" s="36"/>
      <c r="C9" s="9"/>
      <c r="D9" s="9"/>
      <c r="E9" s="9"/>
      <c r="F9" s="184"/>
      <c r="G9" s="185"/>
      <c r="H9" s="19"/>
    </row>
    <row r="10" spans="1:8" ht="14.25" x14ac:dyDescent="0.2">
      <c r="A10" s="205"/>
      <c r="B10" s="36"/>
      <c r="C10" s="9"/>
      <c r="D10" s="9"/>
      <c r="E10" s="9"/>
      <c r="F10" s="184"/>
      <c r="G10" s="185"/>
      <c r="H10" s="19"/>
    </row>
    <row r="11" spans="1:8" ht="15" x14ac:dyDescent="0.25">
      <c r="A11" s="205">
        <v>3</v>
      </c>
      <c r="B11" s="25"/>
      <c r="C11" s="53" t="s">
        <v>38</v>
      </c>
      <c r="D11" s="11"/>
      <c r="E11" s="11"/>
      <c r="F11" s="186">
        <f>SUM(F7:F10)</f>
        <v>300000</v>
      </c>
      <c r="G11" s="187"/>
      <c r="H11" s="188"/>
    </row>
    <row r="12" spans="1:8" ht="14.25" x14ac:dyDescent="0.2">
      <c r="A12" s="205"/>
      <c r="B12" s="36"/>
      <c r="C12" s="9"/>
      <c r="D12" s="9"/>
      <c r="E12" s="9"/>
      <c r="F12" s="184"/>
      <c r="G12" s="185"/>
      <c r="H12" s="19"/>
    </row>
    <row r="13" spans="1:8" ht="15" x14ac:dyDescent="0.25">
      <c r="A13" s="206"/>
      <c r="B13" s="52" t="s">
        <v>39</v>
      </c>
      <c r="C13" s="11"/>
      <c r="D13" s="11"/>
      <c r="E13" s="11"/>
      <c r="F13" s="186"/>
      <c r="G13" s="187"/>
      <c r="H13" s="188"/>
    </row>
    <row r="14" spans="1:8" s="192" customFormat="1" ht="15" x14ac:dyDescent="0.25">
      <c r="A14" s="205"/>
      <c r="B14" s="189" t="s">
        <v>40</v>
      </c>
      <c r="C14" s="109"/>
      <c r="D14" s="109"/>
      <c r="E14" s="109"/>
      <c r="F14" s="190"/>
      <c r="G14" s="191"/>
      <c r="H14" s="105"/>
    </row>
    <row r="15" spans="1:8" s="192" customFormat="1" ht="14.25" x14ac:dyDescent="0.2">
      <c r="A15" s="205">
        <v>4</v>
      </c>
      <c r="B15" s="107"/>
      <c r="C15" s="109" t="s">
        <v>41</v>
      </c>
      <c r="D15" s="109"/>
      <c r="E15" s="109"/>
      <c r="F15" s="190">
        <f>92500+100000</f>
        <v>192500</v>
      </c>
      <c r="G15" s="191"/>
      <c r="H15" s="105" t="s">
        <v>42</v>
      </c>
    </row>
    <row r="16" spans="1:8" s="192" customFormat="1" ht="14.25" x14ac:dyDescent="0.2">
      <c r="A16" s="205">
        <v>5</v>
      </c>
      <c r="B16" s="107"/>
      <c r="C16" s="109" t="s">
        <v>43</v>
      </c>
      <c r="D16" s="109"/>
      <c r="E16" s="109"/>
      <c r="F16" s="190"/>
      <c r="G16" s="191"/>
      <c r="H16" s="105"/>
    </row>
    <row r="17" spans="1:8" s="192" customFormat="1" ht="14.25" x14ac:dyDescent="0.2">
      <c r="A17" s="205">
        <v>6</v>
      </c>
      <c r="B17" s="107"/>
      <c r="C17" s="109" t="s">
        <v>44</v>
      </c>
      <c r="D17" s="109"/>
      <c r="E17" s="109"/>
      <c r="F17" s="190">
        <f>+F15*7.65%</f>
        <v>14726.25</v>
      </c>
      <c r="G17" s="191"/>
      <c r="H17" s="105" t="s">
        <v>45</v>
      </c>
    </row>
    <row r="18" spans="1:8" s="192" customFormat="1" ht="14.25" x14ac:dyDescent="0.2">
      <c r="A18" s="205">
        <v>7</v>
      </c>
      <c r="B18" s="107"/>
      <c r="C18" s="109" t="s">
        <v>46</v>
      </c>
      <c r="D18" s="109"/>
      <c r="E18" s="109"/>
      <c r="F18" s="190">
        <f>31736.29-F17</f>
        <v>17010.04</v>
      </c>
      <c r="G18" s="191"/>
      <c r="H18" s="105" t="s">
        <v>47</v>
      </c>
    </row>
    <row r="19" spans="1:8" s="192" customFormat="1" ht="14.25" x14ac:dyDescent="0.2">
      <c r="A19" s="205">
        <v>8</v>
      </c>
      <c r="B19" s="107"/>
      <c r="C19" s="109" t="s">
        <v>48</v>
      </c>
      <c r="D19" s="109"/>
      <c r="E19" s="109"/>
      <c r="F19" s="190"/>
      <c r="G19" s="191"/>
      <c r="H19" s="105"/>
    </row>
    <row r="20" spans="1:8" ht="14.25" x14ac:dyDescent="0.2">
      <c r="A20" s="205">
        <v>9</v>
      </c>
      <c r="B20" s="36"/>
      <c r="C20" s="9" t="s">
        <v>49</v>
      </c>
      <c r="D20" s="9"/>
      <c r="E20" s="9"/>
      <c r="F20" s="184">
        <v>50000</v>
      </c>
      <c r="G20" s="185"/>
      <c r="H20" s="19" t="s">
        <v>50</v>
      </c>
    </row>
    <row r="21" spans="1:8" ht="14.25" x14ac:dyDescent="0.2">
      <c r="A21" s="205">
        <v>10</v>
      </c>
      <c r="B21" s="36"/>
      <c r="C21" s="9" t="s">
        <v>51</v>
      </c>
      <c r="D21" s="9"/>
      <c r="E21" s="9"/>
      <c r="F21" s="184">
        <f>300000-274236.29</f>
        <v>25763.710000000021</v>
      </c>
      <c r="G21" s="185"/>
      <c r="H21" s="19" t="s">
        <v>52</v>
      </c>
    </row>
    <row r="22" spans="1:8" ht="14.25" x14ac:dyDescent="0.2">
      <c r="A22" s="205"/>
      <c r="B22" s="36"/>
      <c r="C22" s="9"/>
      <c r="D22" s="9"/>
      <c r="E22" s="9"/>
      <c r="F22" s="184"/>
      <c r="G22" s="185"/>
      <c r="H22" s="19"/>
    </row>
    <row r="23" spans="1:8" ht="14.25" x14ac:dyDescent="0.2">
      <c r="A23" s="205">
        <v>11</v>
      </c>
      <c r="B23" s="25"/>
      <c r="C23" s="378" t="s">
        <v>53</v>
      </c>
      <c r="D23" s="11"/>
      <c r="E23" s="11"/>
      <c r="F23" s="186">
        <f>SUM(F15:F22)</f>
        <v>300000.00000000006</v>
      </c>
      <c r="G23" s="187"/>
      <c r="H23" s="188"/>
    </row>
    <row r="24" spans="1:8" ht="14.25" x14ac:dyDescent="0.2">
      <c r="A24" s="205"/>
      <c r="B24" s="36"/>
      <c r="F24" s="184"/>
      <c r="G24" s="185"/>
      <c r="H24" s="19"/>
    </row>
    <row r="25" spans="1:8" ht="15" x14ac:dyDescent="0.25">
      <c r="A25" s="205"/>
      <c r="B25" s="80" t="s">
        <v>54</v>
      </c>
      <c r="C25" s="9"/>
      <c r="D25" s="9"/>
      <c r="E25" s="9"/>
      <c r="F25" s="184"/>
      <c r="G25" s="185"/>
      <c r="H25" s="19"/>
    </row>
    <row r="26" spans="1:8" ht="14.25" x14ac:dyDescent="0.2">
      <c r="A26" s="205">
        <v>12</v>
      </c>
      <c r="B26" s="36"/>
      <c r="C26" s="9" t="s">
        <v>55</v>
      </c>
      <c r="D26" s="9"/>
      <c r="E26" s="9"/>
      <c r="F26" s="184"/>
      <c r="G26" s="185"/>
      <c r="H26" s="19"/>
    </row>
    <row r="27" spans="1:8" ht="14.25" x14ac:dyDescent="0.2">
      <c r="A27" s="205">
        <v>13</v>
      </c>
      <c r="B27" s="36"/>
      <c r="C27" s="9" t="s">
        <v>56</v>
      </c>
      <c r="D27" s="9"/>
      <c r="E27" s="9"/>
      <c r="F27" s="184"/>
      <c r="G27" s="185"/>
      <c r="H27" s="19"/>
    </row>
    <row r="28" spans="1:8" ht="14.25" x14ac:dyDescent="0.2">
      <c r="A28" s="205">
        <v>14</v>
      </c>
      <c r="B28" s="36"/>
      <c r="C28" s="9" t="s">
        <v>57</v>
      </c>
      <c r="D28" s="9"/>
      <c r="E28" s="9"/>
      <c r="F28" s="184"/>
      <c r="G28" s="185"/>
      <c r="H28" s="19"/>
    </row>
    <row r="29" spans="1:8" ht="14.25" x14ac:dyDescent="0.2">
      <c r="A29" s="205">
        <v>15</v>
      </c>
      <c r="B29" s="36"/>
      <c r="C29" s="9" t="s">
        <v>58</v>
      </c>
      <c r="D29" s="9"/>
      <c r="E29" s="9"/>
      <c r="F29" s="184"/>
      <c r="G29" s="185"/>
      <c r="H29" s="19"/>
    </row>
    <row r="30" spans="1:8" ht="14.25" x14ac:dyDescent="0.2">
      <c r="A30" s="205"/>
      <c r="B30" s="36"/>
      <c r="C30" s="9"/>
      <c r="D30" s="9"/>
      <c r="E30" s="9"/>
      <c r="F30" s="184"/>
      <c r="G30" s="185"/>
      <c r="H30" s="19"/>
    </row>
    <row r="31" spans="1:8" ht="14.25" x14ac:dyDescent="0.2">
      <c r="A31" s="205">
        <v>16</v>
      </c>
      <c r="B31" s="25"/>
      <c r="C31" s="378" t="s">
        <v>59</v>
      </c>
      <c r="D31" s="11"/>
      <c r="E31" s="11"/>
      <c r="F31" s="186">
        <f>SUM(F26:F30)</f>
        <v>0</v>
      </c>
      <c r="G31" s="187"/>
      <c r="H31" s="188"/>
    </row>
    <row r="32" spans="1:8" ht="14.25" x14ac:dyDescent="0.2">
      <c r="A32" s="205"/>
      <c r="B32" s="36"/>
      <c r="D32" s="9"/>
      <c r="E32" s="9"/>
      <c r="F32" s="184"/>
      <c r="G32" s="185"/>
      <c r="H32" s="19"/>
    </row>
    <row r="33" spans="1:8" ht="15" x14ac:dyDescent="0.25">
      <c r="A33" s="205"/>
      <c r="B33" s="80" t="s">
        <v>60</v>
      </c>
      <c r="C33" s="9"/>
      <c r="D33" s="9"/>
      <c r="E33" s="9"/>
      <c r="F33" s="184"/>
      <c r="G33" s="185"/>
      <c r="H33" s="19"/>
    </row>
    <row r="34" spans="1:8" ht="14.25" x14ac:dyDescent="0.2">
      <c r="A34" s="205">
        <v>17</v>
      </c>
      <c r="B34" s="36"/>
      <c r="C34" s="9" t="s">
        <v>61</v>
      </c>
      <c r="D34" s="9"/>
      <c r="E34" s="9"/>
      <c r="F34" s="184"/>
      <c r="G34" s="185"/>
      <c r="H34" s="19"/>
    </row>
    <row r="35" spans="1:8" ht="14.25" x14ac:dyDescent="0.2">
      <c r="A35" s="205">
        <v>18</v>
      </c>
      <c r="B35" s="36"/>
      <c r="C35" s="9" t="s">
        <v>62</v>
      </c>
      <c r="D35" s="9"/>
      <c r="E35" s="9"/>
      <c r="F35" s="184"/>
      <c r="G35" s="185"/>
      <c r="H35" s="19"/>
    </row>
    <row r="36" spans="1:8" ht="14.25" x14ac:dyDescent="0.2">
      <c r="A36" s="205">
        <v>19</v>
      </c>
      <c r="B36" s="36"/>
      <c r="C36" s="9" t="s">
        <v>63</v>
      </c>
      <c r="D36" s="9"/>
      <c r="E36" s="9"/>
      <c r="F36" s="184"/>
      <c r="G36" s="185"/>
      <c r="H36" s="19"/>
    </row>
    <row r="37" spans="1:8" ht="14.25" x14ac:dyDescent="0.2">
      <c r="A37" s="205">
        <v>20</v>
      </c>
      <c r="B37" s="36"/>
      <c r="C37" s="9" t="s">
        <v>64</v>
      </c>
      <c r="D37" s="9"/>
      <c r="E37" s="9"/>
      <c r="F37" s="184"/>
      <c r="G37" s="185"/>
      <c r="H37" s="19"/>
    </row>
    <row r="38" spans="1:8" ht="14.25" x14ac:dyDescent="0.2">
      <c r="A38" s="205">
        <v>21</v>
      </c>
      <c r="B38" s="36"/>
      <c r="C38" s="9" t="s">
        <v>65</v>
      </c>
      <c r="D38" s="9"/>
      <c r="E38" s="9"/>
      <c r="F38" s="184"/>
      <c r="G38" s="185"/>
      <c r="H38" s="19"/>
    </row>
    <row r="39" spans="1:8" ht="14.25" x14ac:dyDescent="0.2">
      <c r="A39" s="205">
        <v>22</v>
      </c>
      <c r="B39" s="36"/>
      <c r="C39" s="9" t="s">
        <v>66</v>
      </c>
      <c r="D39" s="9"/>
      <c r="E39" s="9"/>
      <c r="F39" s="184"/>
      <c r="G39" s="185"/>
      <c r="H39" s="19"/>
    </row>
    <row r="40" spans="1:8" ht="14.25" x14ac:dyDescent="0.2">
      <c r="A40" s="205">
        <v>23</v>
      </c>
      <c r="B40" s="36"/>
      <c r="C40" s="9" t="s">
        <v>67</v>
      </c>
      <c r="D40" s="9"/>
      <c r="E40" s="9"/>
      <c r="F40" s="184"/>
      <c r="G40" s="185"/>
      <c r="H40" s="19"/>
    </row>
    <row r="41" spans="1:8" ht="14.25" x14ac:dyDescent="0.2">
      <c r="A41" s="205">
        <v>24</v>
      </c>
      <c r="B41" s="36"/>
      <c r="C41" s="9" t="s">
        <v>68</v>
      </c>
      <c r="D41" s="9"/>
      <c r="E41" s="9"/>
      <c r="F41" s="184"/>
      <c r="G41" s="185"/>
      <c r="H41" s="19"/>
    </row>
    <row r="42" spans="1:8" ht="14.25" x14ac:dyDescent="0.2">
      <c r="A42" s="205"/>
      <c r="B42" s="36"/>
      <c r="C42" s="9"/>
      <c r="D42" s="9"/>
      <c r="E42" s="9"/>
      <c r="F42" s="184"/>
      <c r="G42" s="185"/>
      <c r="H42" s="19"/>
    </row>
    <row r="43" spans="1:8" ht="14.25" x14ac:dyDescent="0.2">
      <c r="A43" s="205">
        <v>25</v>
      </c>
      <c r="B43" s="25"/>
      <c r="C43" s="378" t="s">
        <v>69</v>
      </c>
      <c r="D43" s="11"/>
      <c r="E43" s="11"/>
      <c r="F43" s="186">
        <f>SUM(F34:F42)</f>
        <v>0</v>
      </c>
      <c r="G43" s="187"/>
      <c r="H43" s="188"/>
    </row>
    <row r="44" spans="1:8" ht="14.25" x14ac:dyDescent="0.2">
      <c r="A44" s="205"/>
      <c r="B44" s="36"/>
      <c r="D44" s="9"/>
      <c r="E44" s="9"/>
      <c r="F44" s="184"/>
      <c r="G44" s="185"/>
      <c r="H44" s="19"/>
    </row>
    <row r="45" spans="1:8" ht="15" x14ac:dyDescent="0.25">
      <c r="A45" s="205"/>
      <c r="B45" s="80" t="s">
        <v>70</v>
      </c>
      <c r="C45" s="9"/>
      <c r="D45" s="9"/>
      <c r="E45" s="9"/>
      <c r="F45" s="184"/>
      <c r="G45" s="185"/>
      <c r="H45" s="19"/>
    </row>
    <row r="46" spans="1:8" ht="14.25" x14ac:dyDescent="0.2">
      <c r="A46" s="205">
        <v>26</v>
      </c>
      <c r="B46" s="36"/>
      <c r="C46" s="9" t="s">
        <v>71</v>
      </c>
      <c r="D46" s="9"/>
      <c r="E46" s="9"/>
      <c r="F46" s="184"/>
      <c r="G46" s="185"/>
      <c r="H46" s="19"/>
    </row>
    <row r="47" spans="1:8" ht="14.25" x14ac:dyDescent="0.2">
      <c r="A47" s="205">
        <v>27</v>
      </c>
      <c r="B47" s="36"/>
      <c r="C47" s="9" t="s">
        <v>72</v>
      </c>
      <c r="D47" s="9"/>
      <c r="E47" s="9"/>
      <c r="F47" s="184"/>
      <c r="G47" s="185"/>
      <c r="H47" s="19"/>
    </row>
    <row r="48" spans="1:8" ht="14.25" x14ac:dyDescent="0.2">
      <c r="A48" s="205"/>
      <c r="B48" s="36"/>
      <c r="C48" s="9"/>
      <c r="D48" s="9"/>
      <c r="E48" s="9"/>
      <c r="F48" s="184"/>
      <c r="G48" s="185"/>
      <c r="H48" s="19"/>
    </row>
    <row r="49" spans="1:8" ht="14.25" x14ac:dyDescent="0.2">
      <c r="A49" s="207">
        <v>28</v>
      </c>
      <c r="B49" s="193"/>
      <c r="C49" s="378" t="s">
        <v>73</v>
      </c>
      <c r="D49" s="112"/>
      <c r="E49" s="112"/>
      <c r="F49" s="194">
        <f>SUM(F46:F48)</f>
        <v>0</v>
      </c>
      <c r="G49" s="195"/>
      <c r="H49" s="196"/>
    </row>
    <row r="50" spans="1:8" ht="14.25" x14ac:dyDescent="0.2">
      <c r="A50" s="207"/>
      <c r="B50" s="42"/>
      <c r="D50" s="43"/>
      <c r="E50" s="43"/>
      <c r="F50" s="197"/>
      <c r="G50" s="198"/>
      <c r="H50" s="23"/>
    </row>
    <row r="51" spans="1:8" ht="15.75" thickBot="1" x14ac:dyDescent="0.3">
      <c r="A51" s="208">
        <v>29</v>
      </c>
      <c r="B51" s="199"/>
      <c r="C51" s="200" t="s">
        <v>74</v>
      </c>
      <c r="D51" s="201"/>
      <c r="E51" s="201"/>
      <c r="F51" s="202">
        <f>F23+F31+F43+F49</f>
        <v>300000.00000000006</v>
      </c>
      <c r="G51" s="203"/>
      <c r="H51" s="204"/>
    </row>
    <row r="52" spans="1:8" ht="13.5" thickTop="1" x14ac:dyDescent="0.2"/>
  </sheetData>
  <mergeCells count="4">
    <mergeCell ref="B4:D5"/>
    <mergeCell ref="F4:F5"/>
    <mergeCell ref="H4:H5"/>
    <mergeCell ref="D1:G1"/>
  </mergeCells>
  <phoneticPr fontId="0" type="noConversion"/>
  <pageMargins left="0.28999999999999998" right="0.34" top="0.37" bottom="0.36" header="0.2" footer="0.2"/>
  <pageSetup scale="79" orientation="portrait"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K698"/>
  <sheetViews>
    <sheetView zoomScale="75" zoomScaleNormal="75" workbookViewId="0">
      <pane xSplit="4" ySplit="7" topLeftCell="E388" activePane="bottomRight" state="frozen"/>
      <selection pane="topRight" activeCell="A12" sqref="A12:O12"/>
      <selection pane="bottomLeft" activeCell="A12" sqref="A12:O12"/>
      <selection pane="bottomRight" activeCell="G403" sqref="G403"/>
    </sheetView>
  </sheetViews>
  <sheetFormatPr defaultColWidth="8.85546875" defaultRowHeight="14.25" x14ac:dyDescent="0.2"/>
  <cols>
    <col min="1" max="1" width="4.140625" style="32" customWidth="1"/>
    <col min="2" max="2" width="5.42578125" style="13" customWidth="1"/>
    <col min="3" max="3" width="4.42578125" style="13" customWidth="1"/>
    <col min="4" max="4" width="48.7109375" style="2" customWidth="1"/>
    <col min="5" max="5" width="7.42578125" style="3" customWidth="1"/>
    <col min="6" max="6" width="10.140625" style="3" customWidth="1"/>
    <col min="7" max="7" width="13.28515625" style="257" bestFit="1" customWidth="1"/>
    <col min="8" max="8" width="98.7109375" style="274" customWidth="1"/>
    <col min="9" max="9" width="11.7109375" style="13" customWidth="1"/>
    <col min="10" max="22" width="11.42578125" style="13" customWidth="1"/>
    <col min="23" max="32" width="11.42578125" style="2" customWidth="1"/>
    <col min="33" max="16384" width="8.85546875" style="2"/>
  </cols>
  <sheetData>
    <row r="1" spans="1:37" ht="33.75" customHeight="1" x14ac:dyDescent="0.25">
      <c r="A1" s="605" t="s">
        <v>563</v>
      </c>
      <c r="B1" s="605"/>
      <c r="C1" s="605"/>
      <c r="D1" s="605"/>
      <c r="E1" s="5"/>
      <c r="F1" s="5"/>
      <c r="G1" s="255"/>
      <c r="H1" s="265"/>
      <c r="I1" s="21"/>
      <c r="J1" s="21"/>
      <c r="K1" s="21"/>
      <c r="L1" s="21"/>
    </row>
    <row r="2" spans="1:37" ht="18" customHeight="1" x14ac:dyDescent="0.25">
      <c r="A2" s="606" t="s">
        <v>75</v>
      </c>
      <c r="B2" s="606"/>
      <c r="C2" s="606"/>
      <c r="D2" s="606"/>
      <c r="E2" s="606"/>
      <c r="F2" s="606"/>
      <c r="G2" s="606"/>
      <c r="H2" s="606"/>
      <c r="I2" s="238"/>
      <c r="J2" s="238"/>
      <c r="K2" s="238"/>
      <c r="L2" s="238"/>
      <c r="M2" s="238"/>
      <c r="N2" s="238"/>
      <c r="O2" s="238"/>
      <c r="P2" s="238"/>
      <c r="Q2" s="238"/>
      <c r="R2" s="238"/>
      <c r="S2" s="238"/>
      <c r="T2" s="238"/>
    </row>
    <row r="3" spans="1:37" ht="18" customHeight="1" x14ac:dyDescent="0.25">
      <c r="A3" s="559"/>
      <c r="B3" s="559"/>
      <c r="C3" s="559"/>
      <c r="D3" s="559"/>
      <c r="E3" s="559"/>
      <c r="F3" s="559"/>
      <c r="G3" s="559"/>
      <c r="H3" s="559"/>
      <c r="I3" s="238"/>
      <c r="J3" s="238"/>
      <c r="K3" s="238"/>
      <c r="L3" s="238"/>
      <c r="M3" s="238"/>
      <c r="N3" s="238"/>
      <c r="O3" s="238"/>
      <c r="P3" s="238"/>
      <c r="Q3" s="238"/>
      <c r="R3" s="238"/>
      <c r="S3" s="238"/>
      <c r="T3" s="238"/>
    </row>
    <row r="4" spans="1:37" ht="35.25" customHeight="1" x14ac:dyDescent="0.25">
      <c r="A4" s="616" t="s">
        <v>76</v>
      </c>
      <c r="B4" s="617"/>
      <c r="C4" s="617"/>
      <c r="D4" s="617"/>
      <c r="E4" s="617"/>
      <c r="F4" s="617"/>
      <c r="G4" s="617"/>
      <c r="H4" s="618"/>
      <c r="I4" s="238"/>
      <c r="J4" s="238"/>
      <c r="K4" s="238"/>
      <c r="L4" s="238"/>
      <c r="M4" s="238"/>
      <c r="N4" s="238"/>
      <c r="O4" s="238"/>
      <c r="P4" s="238"/>
      <c r="Q4" s="238"/>
      <c r="R4" s="238"/>
      <c r="S4" s="238"/>
      <c r="T4" s="238"/>
    </row>
    <row r="5" spans="1:37" ht="18.75" customHeight="1" thickBot="1" x14ac:dyDescent="0.3">
      <c r="A5" s="27"/>
      <c r="B5" s="21"/>
      <c r="C5" s="21"/>
      <c r="D5" s="5"/>
      <c r="E5" s="5"/>
      <c r="F5" s="5"/>
      <c r="G5" s="255"/>
      <c r="H5" s="265"/>
      <c r="I5" s="21"/>
      <c r="J5" s="21"/>
      <c r="K5" s="21"/>
      <c r="L5" s="21"/>
    </row>
    <row r="6" spans="1:37" s="1" customFormat="1" ht="15.75" customHeight="1" thickTop="1" x14ac:dyDescent="0.25">
      <c r="A6" s="28"/>
      <c r="B6" s="597" t="s">
        <v>31</v>
      </c>
      <c r="C6" s="598"/>
      <c r="D6" s="598"/>
      <c r="E6" s="600" t="s">
        <v>77</v>
      </c>
      <c r="F6" s="612" t="s">
        <v>78</v>
      </c>
      <c r="G6" s="619" t="s">
        <v>32</v>
      </c>
      <c r="H6" s="614" t="s">
        <v>33</v>
      </c>
      <c r="I6" s="608"/>
      <c r="J6" s="608"/>
      <c r="K6" s="608"/>
      <c r="L6" s="608"/>
      <c r="M6" s="608"/>
      <c r="N6" s="608"/>
      <c r="O6" s="608"/>
      <c r="P6" s="608"/>
      <c r="Q6" s="608"/>
      <c r="R6" s="608"/>
      <c r="S6" s="608"/>
      <c r="T6" s="608"/>
      <c r="U6" s="232"/>
      <c r="V6" s="232"/>
      <c r="W6" s="232"/>
      <c r="X6" s="232"/>
      <c r="Y6" s="232"/>
      <c r="Z6" s="232"/>
      <c r="AA6" s="232"/>
      <c r="AB6" s="232"/>
      <c r="AC6" s="232"/>
      <c r="AD6" s="232"/>
      <c r="AE6" s="232"/>
      <c r="AF6" s="232"/>
      <c r="AG6" s="232"/>
      <c r="AH6" s="232"/>
      <c r="AI6" s="232"/>
      <c r="AJ6" s="232"/>
      <c r="AK6" s="232"/>
    </row>
    <row r="7" spans="1:37" s="40" customFormat="1" ht="15.75" thickBot="1" x14ac:dyDescent="0.3">
      <c r="A7" s="37"/>
      <c r="B7" s="610"/>
      <c r="C7" s="610"/>
      <c r="D7" s="610"/>
      <c r="E7" s="611"/>
      <c r="F7" s="613"/>
      <c r="G7" s="620"/>
      <c r="H7" s="615"/>
      <c r="I7" s="609"/>
      <c r="J7" s="609"/>
      <c r="K7" s="609"/>
      <c r="L7" s="609"/>
      <c r="M7" s="609"/>
      <c r="N7" s="609"/>
      <c r="O7" s="609"/>
      <c r="P7" s="609"/>
      <c r="Q7" s="609"/>
      <c r="R7" s="609"/>
      <c r="S7" s="609"/>
      <c r="T7" s="609"/>
      <c r="U7" s="232"/>
      <c r="V7" s="232"/>
      <c r="W7" s="232"/>
      <c r="X7" s="232"/>
      <c r="Y7" s="232"/>
      <c r="Z7" s="232"/>
      <c r="AA7" s="232"/>
      <c r="AB7" s="232"/>
      <c r="AC7" s="232"/>
      <c r="AD7" s="232"/>
      <c r="AE7" s="232"/>
      <c r="AF7" s="232"/>
      <c r="AG7" s="232"/>
      <c r="AH7" s="232"/>
      <c r="AI7" s="232"/>
      <c r="AJ7" s="232"/>
      <c r="AK7" s="232"/>
    </row>
    <row r="8" spans="1:37" s="39" customFormat="1" ht="20.25" customHeight="1" thickTop="1" x14ac:dyDescent="0.25">
      <c r="A8" s="38"/>
      <c r="B8" s="41" t="s">
        <v>79</v>
      </c>
      <c r="E8" s="69"/>
      <c r="F8" s="237"/>
      <c r="G8" s="291"/>
      <c r="H8" s="266"/>
      <c r="I8" s="379"/>
      <c r="J8" s="379"/>
      <c r="K8" s="379"/>
      <c r="L8" s="379"/>
      <c r="M8" s="379"/>
      <c r="N8" s="379"/>
      <c r="O8" s="379"/>
      <c r="P8" s="379"/>
      <c r="Q8" s="379"/>
      <c r="R8" s="379"/>
      <c r="S8" s="379"/>
      <c r="T8" s="379"/>
      <c r="U8" s="101"/>
      <c r="V8" s="101"/>
      <c r="W8" s="101"/>
      <c r="X8" s="101"/>
      <c r="Y8" s="101"/>
      <c r="Z8" s="101"/>
      <c r="AA8" s="101"/>
      <c r="AB8" s="101"/>
      <c r="AC8" s="101"/>
      <c r="AD8" s="101"/>
      <c r="AE8" s="101"/>
      <c r="AF8" s="101"/>
      <c r="AG8" s="101"/>
      <c r="AH8" s="101"/>
      <c r="AI8" s="101"/>
      <c r="AJ8" s="101"/>
      <c r="AK8" s="101"/>
    </row>
    <row r="9" spans="1:37" ht="3" customHeight="1" x14ac:dyDescent="0.2">
      <c r="A9" s="29"/>
      <c r="B9" s="35"/>
      <c r="C9" s="12"/>
      <c r="D9" s="12"/>
      <c r="E9" s="71"/>
      <c r="F9" s="153"/>
      <c r="G9" s="292"/>
      <c r="H9" s="267"/>
      <c r="I9" s="379"/>
      <c r="J9" s="379"/>
      <c r="K9" s="379"/>
      <c r="L9" s="379"/>
      <c r="M9" s="379"/>
      <c r="N9" s="379"/>
      <c r="O9" s="379"/>
      <c r="P9" s="379"/>
      <c r="Q9" s="379"/>
      <c r="R9" s="379"/>
      <c r="S9" s="379"/>
      <c r="T9" s="379"/>
      <c r="U9" s="101"/>
      <c r="V9" s="101"/>
      <c r="W9" s="101"/>
      <c r="X9" s="101"/>
      <c r="Y9" s="101"/>
      <c r="Z9" s="101"/>
      <c r="AA9" s="101"/>
      <c r="AB9" s="101"/>
      <c r="AC9" s="101"/>
      <c r="AD9" s="101"/>
      <c r="AE9" s="101"/>
      <c r="AF9" s="101"/>
      <c r="AG9" s="101"/>
      <c r="AH9" s="101"/>
      <c r="AI9" s="101"/>
      <c r="AJ9" s="101"/>
      <c r="AK9" s="101"/>
    </row>
    <row r="10" spans="1:37" x14ac:dyDescent="0.2">
      <c r="A10" s="30"/>
      <c r="B10" s="25" t="s">
        <v>80</v>
      </c>
      <c r="C10" s="11"/>
      <c r="D10" s="11"/>
      <c r="E10" s="61"/>
      <c r="F10" s="154"/>
      <c r="G10" s="293"/>
      <c r="H10" s="268"/>
      <c r="I10" s="379"/>
      <c r="J10" s="379"/>
      <c r="K10" s="379"/>
      <c r="L10" s="379"/>
      <c r="M10" s="379"/>
      <c r="N10" s="379"/>
      <c r="O10" s="379"/>
      <c r="P10" s="379"/>
      <c r="Q10" s="379"/>
      <c r="R10" s="379"/>
      <c r="S10" s="379"/>
      <c r="T10" s="379"/>
      <c r="U10" s="101"/>
      <c r="V10" s="101"/>
      <c r="W10" s="101"/>
      <c r="X10" s="101"/>
      <c r="Y10" s="101"/>
      <c r="Z10" s="101"/>
      <c r="AA10" s="101"/>
      <c r="AB10" s="101"/>
      <c r="AC10" s="101"/>
      <c r="AD10" s="101"/>
      <c r="AE10" s="101"/>
      <c r="AF10" s="101"/>
      <c r="AG10" s="101"/>
      <c r="AH10" s="101"/>
      <c r="AI10" s="101"/>
      <c r="AJ10" s="101"/>
      <c r="AK10" s="101"/>
    </row>
    <row r="11" spans="1:37" x14ac:dyDescent="0.2">
      <c r="A11" s="205">
        <v>1</v>
      </c>
      <c r="B11" s="36"/>
      <c r="C11" s="340" t="s">
        <v>81</v>
      </c>
      <c r="D11" s="9"/>
      <c r="E11" s="18"/>
      <c r="F11" s="155" t="s">
        <v>82</v>
      </c>
      <c r="G11" s="294">
        <f>+'[1]MFP Calc (new)'!$I$73</f>
        <v>2161895</v>
      </c>
      <c r="H11" s="269" t="s">
        <v>83</v>
      </c>
      <c r="I11" s="379"/>
      <c r="J11" s="379"/>
      <c r="K11" s="379"/>
      <c r="L11" s="379"/>
      <c r="M11" s="379"/>
      <c r="N11" s="379"/>
      <c r="O11" s="379"/>
      <c r="P11" s="379"/>
      <c r="Q11" s="379"/>
      <c r="R11" s="379"/>
      <c r="S11" s="379"/>
      <c r="T11" s="379"/>
      <c r="U11" s="101"/>
      <c r="V11" s="101"/>
      <c r="W11" s="101"/>
      <c r="X11" s="101"/>
      <c r="Y11" s="101"/>
      <c r="Z11" s="101"/>
      <c r="AA11" s="101"/>
      <c r="AB11" s="101"/>
      <c r="AC11" s="101"/>
      <c r="AD11" s="101"/>
      <c r="AE11" s="101"/>
      <c r="AF11" s="101"/>
      <c r="AG11" s="101"/>
      <c r="AH11" s="101"/>
      <c r="AI11" s="101"/>
      <c r="AJ11" s="101"/>
      <c r="AK11" s="101"/>
    </row>
    <row r="12" spans="1:37" x14ac:dyDescent="0.2">
      <c r="A12" s="205">
        <v>2</v>
      </c>
      <c r="B12" s="36"/>
      <c r="C12" s="9" t="s">
        <v>84</v>
      </c>
      <c r="D12" s="9"/>
      <c r="E12" s="18"/>
      <c r="F12" s="155" t="s">
        <v>85</v>
      </c>
      <c r="G12" s="294"/>
      <c r="H12" s="269"/>
      <c r="I12" s="379"/>
      <c r="J12" s="379"/>
      <c r="K12" s="379"/>
      <c r="L12" s="379"/>
      <c r="M12" s="379"/>
      <c r="N12" s="379"/>
      <c r="O12" s="379"/>
      <c r="P12" s="379"/>
      <c r="Q12" s="379"/>
      <c r="R12" s="379"/>
      <c r="S12" s="379"/>
      <c r="T12" s="379"/>
      <c r="U12" s="101"/>
      <c r="V12" s="101"/>
      <c r="W12" s="101"/>
      <c r="X12" s="101"/>
      <c r="Y12" s="101"/>
      <c r="Z12" s="101"/>
      <c r="AA12" s="101"/>
      <c r="AB12" s="101"/>
      <c r="AC12" s="101"/>
      <c r="AD12" s="101"/>
      <c r="AE12" s="101"/>
      <c r="AF12" s="101"/>
      <c r="AG12" s="101"/>
      <c r="AH12" s="101"/>
      <c r="AI12" s="101"/>
      <c r="AJ12" s="101"/>
      <c r="AK12" s="101"/>
    </row>
    <row r="13" spans="1:37" x14ac:dyDescent="0.2">
      <c r="A13" s="205">
        <v>3</v>
      </c>
      <c r="B13" s="36"/>
      <c r="C13" s="9" t="s">
        <v>86</v>
      </c>
      <c r="D13" s="9"/>
      <c r="E13" s="18"/>
      <c r="F13" s="155" t="s">
        <v>87</v>
      </c>
      <c r="G13" s="294"/>
      <c r="H13" s="269"/>
      <c r="I13" s="379"/>
      <c r="J13" s="379"/>
      <c r="K13" s="379"/>
      <c r="L13" s="379"/>
      <c r="M13" s="379"/>
      <c r="N13" s="379"/>
      <c r="O13" s="379"/>
      <c r="P13" s="379"/>
      <c r="Q13" s="379"/>
      <c r="R13" s="379"/>
      <c r="S13" s="379"/>
      <c r="T13" s="379"/>
      <c r="U13" s="101"/>
      <c r="V13" s="101"/>
      <c r="W13" s="101"/>
      <c r="X13" s="101"/>
      <c r="Y13" s="101"/>
      <c r="Z13" s="101"/>
      <c r="AA13" s="101"/>
      <c r="AB13" s="101"/>
      <c r="AC13" s="101"/>
      <c r="AD13" s="101"/>
      <c r="AE13" s="101"/>
      <c r="AF13" s="101"/>
      <c r="AG13" s="101"/>
      <c r="AH13" s="101"/>
      <c r="AI13" s="101"/>
      <c r="AJ13" s="101"/>
      <c r="AK13" s="101"/>
    </row>
    <row r="14" spans="1:37" x14ac:dyDescent="0.2">
      <c r="A14" s="205">
        <v>4</v>
      </c>
      <c r="B14" s="36"/>
      <c r="C14" s="9" t="s">
        <v>88</v>
      </c>
      <c r="D14" s="9"/>
      <c r="E14" s="18"/>
      <c r="F14" s="155">
        <v>1800</v>
      </c>
      <c r="G14" s="294"/>
      <c r="H14" s="269"/>
      <c r="I14" s="379"/>
      <c r="J14" s="379"/>
      <c r="K14" s="379"/>
      <c r="L14" s="379"/>
      <c r="M14" s="379"/>
      <c r="N14" s="379"/>
      <c r="O14" s="379"/>
      <c r="P14" s="379"/>
      <c r="Q14" s="379"/>
      <c r="R14" s="379"/>
      <c r="S14" s="379"/>
      <c r="T14" s="379"/>
      <c r="U14" s="101"/>
      <c r="V14" s="101"/>
      <c r="W14" s="101"/>
      <c r="X14" s="101"/>
      <c r="Y14" s="101"/>
      <c r="Z14" s="101"/>
      <c r="AA14" s="101"/>
      <c r="AB14" s="101"/>
      <c r="AC14" s="101"/>
      <c r="AD14" s="101"/>
      <c r="AE14" s="101"/>
      <c r="AF14" s="101"/>
      <c r="AG14" s="101"/>
      <c r="AH14" s="101"/>
      <c r="AI14" s="101"/>
      <c r="AJ14" s="101"/>
      <c r="AK14" s="101"/>
    </row>
    <row r="15" spans="1:37" x14ac:dyDescent="0.2">
      <c r="A15" s="205"/>
      <c r="B15" s="36"/>
      <c r="C15" s="9" t="s">
        <v>89</v>
      </c>
      <c r="D15" s="9"/>
      <c r="E15" s="61"/>
      <c r="F15" s="154"/>
      <c r="G15" s="293"/>
      <c r="H15" s="268"/>
      <c r="I15" s="379"/>
      <c r="J15" s="379"/>
      <c r="K15" s="379"/>
      <c r="L15" s="379"/>
      <c r="M15" s="379"/>
      <c r="N15" s="379"/>
      <c r="O15" s="379"/>
      <c r="P15" s="379"/>
      <c r="Q15" s="379"/>
      <c r="R15" s="379"/>
      <c r="S15" s="379"/>
      <c r="T15" s="379"/>
      <c r="U15" s="101"/>
      <c r="V15" s="101"/>
      <c r="W15" s="101"/>
      <c r="X15" s="101"/>
      <c r="Y15" s="101"/>
      <c r="Z15" s="101"/>
      <c r="AA15" s="101"/>
      <c r="AB15" s="101"/>
      <c r="AC15" s="101"/>
      <c r="AD15" s="101"/>
      <c r="AE15" s="101"/>
      <c r="AF15" s="101"/>
      <c r="AG15" s="101"/>
      <c r="AH15" s="101"/>
      <c r="AI15" s="101"/>
      <c r="AJ15" s="101"/>
      <c r="AK15" s="101"/>
    </row>
    <row r="16" spans="1:37" x14ac:dyDescent="0.2">
      <c r="A16" s="205">
        <v>5</v>
      </c>
      <c r="B16" s="36"/>
      <c r="C16" s="9"/>
      <c r="D16" s="9" t="s">
        <v>90</v>
      </c>
      <c r="E16" s="18"/>
      <c r="F16" s="155" t="s">
        <v>91</v>
      </c>
      <c r="G16" s="294">
        <v>250000</v>
      </c>
      <c r="H16" s="269" t="s">
        <v>92</v>
      </c>
      <c r="I16" s="379"/>
      <c r="J16" s="379"/>
      <c r="K16" s="379"/>
      <c r="L16" s="379"/>
      <c r="M16" s="379"/>
      <c r="N16" s="379"/>
      <c r="O16" s="379"/>
      <c r="P16" s="379"/>
      <c r="Q16" s="379"/>
      <c r="R16" s="379"/>
      <c r="S16" s="379"/>
      <c r="T16" s="379"/>
      <c r="U16" s="101"/>
      <c r="V16" s="101"/>
      <c r="W16" s="101"/>
      <c r="X16" s="101"/>
      <c r="Y16" s="101"/>
      <c r="Z16" s="101"/>
      <c r="AA16" s="101"/>
      <c r="AB16" s="101"/>
      <c r="AC16" s="101"/>
      <c r="AD16" s="101"/>
      <c r="AE16" s="101"/>
      <c r="AF16" s="101"/>
      <c r="AG16" s="101"/>
      <c r="AH16" s="101"/>
      <c r="AI16" s="101"/>
      <c r="AJ16" s="101"/>
      <c r="AK16" s="101"/>
    </row>
    <row r="17" spans="1:37" x14ac:dyDescent="0.2">
      <c r="A17" s="205">
        <v>6</v>
      </c>
      <c r="B17" s="36"/>
      <c r="C17" s="9"/>
      <c r="D17" s="9" t="s">
        <v>93</v>
      </c>
      <c r="E17" s="18"/>
      <c r="F17" s="155" t="s">
        <v>94</v>
      </c>
      <c r="G17" s="294"/>
      <c r="H17" s="269"/>
      <c r="I17" s="379"/>
      <c r="J17" s="379"/>
      <c r="K17" s="379"/>
      <c r="L17" s="379"/>
      <c r="M17" s="379"/>
      <c r="N17" s="379"/>
      <c r="O17" s="379"/>
      <c r="P17" s="379"/>
      <c r="Q17" s="379"/>
      <c r="R17" s="379"/>
      <c r="S17" s="379"/>
      <c r="T17" s="379"/>
      <c r="U17" s="101"/>
      <c r="V17" s="101"/>
      <c r="W17" s="101"/>
      <c r="X17" s="101"/>
      <c r="Y17" s="101"/>
      <c r="Z17" s="101"/>
      <c r="AA17" s="101"/>
      <c r="AB17" s="101"/>
      <c r="AC17" s="101"/>
      <c r="AD17" s="101"/>
      <c r="AE17" s="101"/>
      <c r="AF17" s="101"/>
      <c r="AG17" s="101"/>
      <c r="AH17" s="101"/>
      <c r="AI17" s="101"/>
      <c r="AJ17" s="101"/>
      <c r="AK17" s="101"/>
    </row>
    <row r="18" spans="1:37" x14ac:dyDescent="0.2">
      <c r="A18" s="207">
        <v>7</v>
      </c>
      <c r="B18" s="42"/>
      <c r="C18" s="43"/>
      <c r="D18" s="43" t="s">
        <v>95</v>
      </c>
      <c r="E18" s="22"/>
      <c r="F18" s="158" t="s">
        <v>96</v>
      </c>
      <c r="G18" s="295">
        <v>59535.70758928571</v>
      </c>
      <c r="H18" s="270" t="s">
        <v>97</v>
      </c>
      <c r="I18" s="379"/>
      <c r="J18" s="379"/>
      <c r="K18" s="379"/>
      <c r="L18" s="379"/>
      <c r="M18" s="379"/>
      <c r="N18" s="379"/>
      <c r="O18" s="379"/>
      <c r="P18" s="379"/>
      <c r="Q18" s="379"/>
      <c r="R18" s="379"/>
      <c r="S18" s="379"/>
      <c r="T18" s="379"/>
      <c r="U18" s="101"/>
      <c r="V18" s="101"/>
      <c r="W18" s="101"/>
      <c r="X18" s="101"/>
      <c r="Y18" s="101"/>
      <c r="Z18" s="101"/>
      <c r="AA18" s="101"/>
      <c r="AB18" s="101"/>
      <c r="AC18" s="101"/>
      <c r="AD18" s="101"/>
      <c r="AE18" s="101"/>
      <c r="AF18" s="101"/>
      <c r="AG18" s="101"/>
      <c r="AH18" s="101"/>
      <c r="AI18" s="101"/>
      <c r="AJ18" s="101"/>
      <c r="AK18" s="101"/>
    </row>
    <row r="19" spans="1:37" s="94" customFormat="1" ht="12.75" x14ac:dyDescent="0.2">
      <c r="A19" s="209">
        <v>8</v>
      </c>
      <c r="B19" s="91"/>
      <c r="C19" s="82" t="s">
        <v>98</v>
      </c>
      <c r="D19" s="82"/>
      <c r="E19" s="92"/>
      <c r="F19" s="157"/>
      <c r="G19" s="296"/>
      <c r="H19" s="264"/>
      <c r="I19" s="235"/>
      <c r="J19" s="235"/>
      <c r="K19" s="235"/>
      <c r="L19" s="235"/>
      <c r="M19" s="235"/>
      <c r="N19" s="235"/>
      <c r="O19" s="235"/>
      <c r="P19" s="235"/>
      <c r="Q19" s="235"/>
      <c r="R19" s="235"/>
      <c r="S19" s="235"/>
      <c r="T19" s="379"/>
      <c r="U19" s="234"/>
      <c r="V19" s="234"/>
      <c r="W19" s="234"/>
      <c r="X19" s="234"/>
      <c r="Y19" s="234"/>
      <c r="Z19" s="234"/>
      <c r="AA19" s="234"/>
      <c r="AB19" s="234"/>
      <c r="AC19" s="234"/>
      <c r="AD19" s="234"/>
      <c r="AE19" s="234"/>
      <c r="AF19" s="234"/>
      <c r="AG19" s="234"/>
      <c r="AH19" s="234"/>
      <c r="AI19" s="234"/>
      <c r="AJ19" s="234"/>
      <c r="AK19" s="234"/>
    </row>
    <row r="20" spans="1:37" x14ac:dyDescent="0.2">
      <c r="A20" s="207">
        <v>9</v>
      </c>
      <c r="B20" s="42"/>
      <c r="C20" s="43"/>
      <c r="D20" s="43"/>
      <c r="E20" s="22"/>
      <c r="F20" s="158"/>
      <c r="G20" s="295"/>
      <c r="H20" s="270"/>
      <c r="I20" s="379"/>
      <c r="J20" s="379"/>
      <c r="K20" s="379"/>
      <c r="L20" s="379"/>
      <c r="M20" s="379"/>
      <c r="N20" s="379"/>
      <c r="O20" s="379"/>
      <c r="P20" s="379"/>
      <c r="Q20" s="379"/>
      <c r="R20" s="379"/>
      <c r="S20" s="379"/>
      <c r="T20" s="379"/>
      <c r="U20" s="101"/>
      <c r="V20" s="101"/>
      <c r="W20" s="101"/>
      <c r="X20" s="101"/>
      <c r="Y20" s="101"/>
      <c r="Z20" s="101"/>
      <c r="AA20" s="101"/>
      <c r="AB20" s="101"/>
      <c r="AC20" s="101"/>
      <c r="AD20" s="101"/>
      <c r="AE20" s="101"/>
      <c r="AF20" s="101"/>
      <c r="AG20" s="101"/>
      <c r="AH20" s="101"/>
      <c r="AI20" s="101"/>
      <c r="AJ20" s="101"/>
      <c r="AK20" s="101"/>
    </row>
    <row r="21" spans="1:37" x14ac:dyDescent="0.2">
      <c r="A21" s="210">
        <v>10</v>
      </c>
      <c r="B21" s="47" t="s">
        <v>99</v>
      </c>
      <c r="C21" s="6"/>
      <c r="D21" s="48"/>
      <c r="E21" s="49"/>
      <c r="F21" s="159"/>
      <c r="G21" s="297">
        <f>SUM(G11:G20)</f>
        <v>2471430.7075892859</v>
      </c>
      <c r="H21" s="271"/>
      <c r="I21" s="379"/>
      <c r="J21" s="379"/>
      <c r="K21" s="379"/>
      <c r="L21" s="379"/>
      <c r="M21" s="379"/>
      <c r="N21" s="379"/>
      <c r="O21" s="379"/>
      <c r="P21" s="379"/>
      <c r="Q21" s="379"/>
      <c r="R21" s="379"/>
      <c r="S21" s="379"/>
      <c r="T21" s="379"/>
      <c r="U21" s="101"/>
      <c r="V21" s="101"/>
      <c r="W21" s="101"/>
      <c r="X21" s="101"/>
      <c r="Y21" s="101"/>
      <c r="Z21" s="101"/>
      <c r="AA21" s="101"/>
      <c r="AB21" s="101"/>
      <c r="AC21" s="101"/>
      <c r="AD21" s="101"/>
      <c r="AE21" s="101"/>
      <c r="AF21" s="101"/>
      <c r="AG21" s="101"/>
      <c r="AH21" s="101"/>
      <c r="AI21" s="101"/>
      <c r="AJ21" s="101"/>
      <c r="AK21" s="101"/>
    </row>
    <row r="22" spans="1:37" x14ac:dyDescent="0.2">
      <c r="A22" s="29"/>
      <c r="B22" s="35"/>
      <c r="C22" s="12"/>
      <c r="D22" s="12"/>
      <c r="E22" s="71"/>
      <c r="F22" s="153"/>
      <c r="G22" s="292"/>
      <c r="H22" s="267"/>
      <c r="I22" s="379"/>
      <c r="J22" s="379"/>
      <c r="K22" s="379"/>
      <c r="L22" s="379"/>
      <c r="M22" s="379"/>
      <c r="N22" s="379"/>
      <c r="O22" s="379"/>
      <c r="P22" s="379"/>
      <c r="Q22" s="379"/>
      <c r="R22" s="379"/>
      <c r="S22" s="379"/>
      <c r="T22" s="379"/>
      <c r="U22" s="101"/>
      <c r="V22" s="101"/>
      <c r="W22" s="101"/>
      <c r="X22" s="101"/>
      <c r="Y22" s="101"/>
      <c r="Z22" s="101"/>
      <c r="AA22" s="101"/>
      <c r="AB22" s="101"/>
      <c r="AC22" s="101"/>
      <c r="AD22" s="101"/>
      <c r="AE22" s="101"/>
      <c r="AF22" s="101"/>
      <c r="AG22" s="101"/>
      <c r="AH22" s="101"/>
      <c r="AI22" s="101"/>
      <c r="AJ22" s="101"/>
      <c r="AK22" s="101"/>
    </row>
    <row r="23" spans="1:37" x14ac:dyDescent="0.2">
      <c r="A23" s="30"/>
      <c r="B23" s="25" t="s">
        <v>100</v>
      </c>
      <c r="C23" s="11"/>
      <c r="D23" s="11"/>
      <c r="E23" s="61"/>
      <c r="F23" s="154"/>
      <c r="G23" s="293"/>
      <c r="H23" s="268"/>
      <c r="I23" s="379"/>
      <c r="J23" s="379"/>
      <c r="K23" s="379"/>
      <c r="L23" s="379"/>
      <c r="M23" s="379"/>
      <c r="N23" s="379"/>
      <c r="O23" s="379"/>
      <c r="P23" s="379"/>
      <c r="Q23" s="379"/>
      <c r="R23" s="379"/>
      <c r="S23" s="379"/>
      <c r="T23" s="379"/>
      <c r="U23" s="101"/>
      <c r="V23" s="101"/>
      <c r="W23" s="101"/>
      <c r="X23" s="101"/>
      <c r="Y23" s="101"/>
      <c r="Z23" s="101"/>
      <c r="AA23" s="101"/>
      <c r="AB23" s="101"/>
      <c r="AC23" s="101"/>
      <c r="AD23" s="101"/>
      <c r="AE23" s="101"/>
      <c r="AF23" s="101"/>
      <c r="AG23" s="101"/>
      <c r="AH23" s="101"/>
      <c r="AI23" s="101"/>
      <c r="AJ23" s="101"/>
      <c r="AK23" s="101"/>
    </row>
    <row r="24" spans="1:37" x14ac:dyDescent="0.2">
      <c r="A24" s="31"/>
      <c r="B24" s="36"/>
      <c r="C24" s="9" t="s">
        <v>101</v>
      </c>
      <c r="D24" s="9"/>
      <c r="E24" s="61"/>
      <c r="F24" s="154"/>
      <c r="G24" s="293"/>
      <c r="H24" s="268"/>
      <c r="I24" s="379"/>
      <c r="J24" s="379"/>
      <c r="K24" s="379"/>
      <c r="L24" s="379"/>
      <c r="M24" s="379"/>
      <c r="N24" s="379"/>
      <c r="O24" s="379"/>
      <c r="P24" s="379"/>
      <c r="Q24" s="379"/>
      <c r="R24" s="379"/>
      <c r="S24" s="379"/>
      <c r="T24" s="379"/>
      <c r="U24" s="101"/>
      <c r="V24" s="101"/>
      <c r="W24" s="101"/>
      <c r="X24" s="101"/>
      <c r="Y24" s="101"/>
      <c r="Z24" s="101"/>
      <c r="AA24" s="101"/>
      <c r="AB24" s="101"/>
      <c r="AC24" s="101"/>
      <c r="AD24" s="101"/>
      <c r="AE24" s="101"/>
      <c r="AF24" s="101"/>
      <c r="AG24" s="101"/>
      <c r="AH24" s="101"/>
      <c r="AI24" s="101"/>
      <c r="AJ24" s="101"/>
      <c r="AK24" s="101"/>
    </row>
    <row r="25" spans="1:37" x14ac:dyDescent="0.2">
      <c r="A25" s="31">
        <v>11</v>
      </c>
      <c r="B25" s="36"/>
      <c r="C25" s="9"/>
      <c r="D25" s="340" t="s">
        <v>102</v>
      </c>
      <c r="E25" s="18"/>
      <c r="F25" s="155" t="s">
        <v>103</v>
      </c>
      <c r="G25" s="294">
        <f>+'[1]MFP Calc (new)'!$I$75</f>
        <v>1766855.6143234726</v>
      </c>
      <c r="H25" s="269" t="s">
        <v>83</v>
      </c>
      <c r="I25" s="379"/>
      <c r="J25" s="379"/>
      <c r="K25" s="379"/>
      <c r="L25" s="379"/>
      <c r="M25" s="379"/>
      <c r="N25" s="379"/>
      <c r="O25" s="379"/>
      <c r="P25" s="379"/>
      <c r="Q25" s="379"/>
      <c r="R25" s="379"/>
      <c r="S25" s="379"/>
      <c r="T25" s="379"/>
      <c r="U25" s="101"/>
      <c r="V25" s="101"/>
      <c r="W25" s="101"/>
      <c r="X25" s="101"/>
      <c r="Y25" s="101"/>
      <c r="Z25" s="101"/>
      <c r="AA25" s="101"/>
      <c r="AB25" s="101"/>
      <c r="AC25" s="101"/>
      <c r="AD25" s="101"/>
      <c r="AE25" s="101"/>
      <c r="AF25" s="101"/>
      <c r="AG25" s="101"/>
      <c r="AH25" s="101"/>
      <c r="AI25" s="101"/>
      <c r="AJ25" s="101"/>
      <c r="AK25" s="101"/>
    </row>
    <row r="26" spans="1:37" x14ac:dyDescent="0.2">
      <c r="A26" s="205">
        <v>12</v>
      </c>
      <c r="B26" s="36"/>
      <c r="C26" s="9"/>
      <c r="D26" s="9" t="s">
        <v>104</v>
      </c>
      <c r="E26" s="18"/>
      <c r="F26" s="155" t="s">
        <v>105</v>
      </c>
      <c r="G26" s="294"/>
      <c r="H26" s="269"/>
      <c r="I26" s="379"/>
      <c r="J26" s="379"/>
      <c r="K26" s="379"/>
      <c r="L26" s="379"/>
      <c r="M26" s="379"/>
      <c r="N26" s="379"/>
      <c r="O26" s="379"/>
      <c r="P26" s="379"/>
      <c r="Q26" s="379"/>
      <c r="R26" s="379"/>
      <c r="S26" s="379"/>
      <c r="T26" s="379"/>
      <c r="U26" s="101"/>
      <c r="V26" s="101"/>
      <c r="W26" s="101"/>
      <c r="X26" s="101"/>
      <c r="Y26" s="101"/>
      <c r="Z26" s="101"/>
      <c r="AA26" s="101"/>
      <c r="AB26" s="101"/>
      <c r="AC26" s="101"/>
      <c r="AD26" s="101"/>
      <c r="AE26" s="101"/>
      <c r="AF26" s="101"/>
      <c r="AG26" s="101"/>
      <c r="AH26" s="101"/>
      <c r="AI26" s="101"/>
      <c r="AJ26" s="101"/>
      <c r="AK26" s="101"/>
    </row>
    <row r="27" spans="1:37" x14ac:dyDescent="0.2">
      <c r="A27" s="205"/>
      <c r="B27" s="36"/>
      <c r="C27" s="9" t="s">
        <v>106</v>
      </c>
      <c r="D27" s="9"/>
      <c r="E27" s="61"/>
      <c r="F27" s="154"/>
      <c r="G27" s="293"/>
      <c r="H27" s="268"/>
      <c r="I27" s="379"/>
      <c r="J27" s="379"/>
      <c r="K27" s="379"/>
      <c r="L27" s="379"/>
      <c r="M27" s="379"/>
      <c r="N27" s="379"/>
      <c r="O27" s="379"/>
      <c r="P27" s="379"/>
      <c r="Q27" s="379"/>
      <c r="R27" s="379"/>
      <c r="S27" s="379"/>
      <c r="T27" s="379"/>
      <c r="U27" s="101"/>
      <c r="V27" s="101"/>
      <c r="W27" s="101"/>
      <c r="X27" s="101"/>
      <c r="Y27" s="101"/>
      <c r="Z27" s="101"/>
      <c r="AA27" s="101"/>
      <c r="AB27" s="101"/>
      <c r="AC27" s="101"/>
      <c r="AD27" s="101"/>
      <c r="AE27" s="101"/>
      <c r="AF27" s="101"/>
      <c r="AG27" s="101"/>
      <c r="AH27" s="101"/>
      <c r="AI27" s="101"/>
      <c r="AJ27" s="101"/>
      <c r="AK27" s="101"/>
    </row>
    <row r="28" spans="1:37" x14ac:dyDescent="0.2">
      <c r="A28" s="205">
        <v>13</v>
      </c>
      <c r="B28" s="36"/>
      <c r="C28" s="9"/>
      <c r="D28" s="9" t="s">
        <v>107</v>
      </c>
      <c r="E28" s="18"/>
      <c r="F28" s="155" t="s">
        <v>108</v>
      </c>
      <c r="G28" s="294"/>
      <c r="H28" s="269"/>
      <c r="I28" s="379"/>
      <c r="J28" s="379"/>
      <c r="K28" s="379"/>
      <c r="L28" s="379"/>
      <c r="M28" s="379"/>
      <c r="N28" s="379"/>
      <c r="O28" s="379"/>
      <c r="P28" s="379"/>
      <c r="Q28" s="379"/>
      <c r="R28" s="379"/>
      <c r="S28" s="379"/>
      <c r="T28" s="379"/>
      <c r="U28" s="101"/>
      <c r="V28" s="101"/>
      <c r="W28" s="101"/>
      <c r="X28" s="101"/>
      <c r="Y28" s="101"/>
      <c r="Z28" s="101"/>
      <c r="AA28" s="101"/>
      <c r="AB28" s="101"/>
      <c r="AC28" s="101"/>
      <c r="AD28" s="101"/>
      <c r="AE28" s="101"/>
      <c r="AF28" s="101"/>
      <c r="AG28" s="101"/>
      <c r="AH28" s="101"/>
      <c r="AI28" s="101"/>
      <c r="AJ28" s="101"/>
      <c r="AK28" s="101"/>
    </row>
    <row r="29" spans="1:37" x14ac:dyDescent="0.2">
      <c r="A29" s="205">
        <v>14</v>
      </c>
      <c r="B29" s="36"/>
      <c r="C29" s="9"/>
      <c r="D29" s="9" t="s">
        <v>109</v>
      </c>
      <c r="E29" s="18"/>
      <c r="F29" s="155" t="s">
        <v>110</v>
      </c>
      <c r="G29" s="294"/>
      <c r="H29" s="269"/>
      <c r="I29" s="379"/>
      <c r="J29" s="379"/>
      <c r="K29" s="379"/>
      <c r="L29" s="379"/>
      <c r="M29" s="379"/>
      <c r="N29" s="379"/>
      <c r="O29" s="379"/>
      <c r="P29" s="379"/>
      <c r="Q29" s="379"/>
      <c r="R29" s="379"/>
      <c r="S29" s="379"/>
      <c r="T29" s="379"/>
      <c r="U29" s="101"/>
      <c r="V29" s="101"/>
      <c r="W29" s="101"/>
      <c r="X29" s="101"/>
      <c r="Y29" s="101"/>
      <c r="Z29" s="101"/>
      <c r="AA29" s="101"/>
      <c r="AB29" s="101"/>
      <c r="AC29" s="101"/>
      <c r="AD29" s="101"/>
      <c r="AE29" s="101"/>
      <c r="AF29" s="101"/>
      <c r="AG29" s="101"/>
      <c r="AH29" s="101"/>
      <c r="AI29" s="101"/>
      <c r="AJ29" s="101"/>
      <c r="AK29" s="101"/>
    </row>
    <row r="30" spans="1:37" x14ac:dyDescent="0.2">
      <c r="A30" s="207">
        <v>15</v>
      </c>
      <c r="B30" s="42"/>
      <c r="C30" s="43"/>
      <c r="D30" s="43" t="s">
        <v>111</v>
      </c>
      <c r="E30" s="22"/>
      <c r="F30" s="158" t="s">
        <v>112</v>
      </c>
      <c r="G30" s="295"/>
      <c r="H30" s="270"/>
      <c r="I30" s="379"/>
      <c r="J30" s="379"/>
      <c r="K30" s="379"/>
      <c r="L30" s="379"/>
      <c r="M30" s="379"/>
      <c r="N30" s="379"/>
      <c r="O30" s="379"/>
      <c r="P30" s="379"/>
      <c r="Q30" s="379"/>
      <c r="R30" s="379"/>
      <c r="S30" s="379"/>
      <c r="T30" s="379"/>
      <c r="U30" s="101"/>
      <c r="V30" s="101"/>
      <c r="W30" s="101"/>
      <c r="X30" s="101"/>
      <c r="Y30" s="101"/>
      <c r="Z30" s="101"/>
      <c r="AA30" s="101"/>
      <c r="AB30" s="101"/>
      <c r="AC30" s="101"/>
      <c r="AD30" s="101"/>
      <c r="AE30" s="101"/>
      <c r="AF30" s="101"/>
      <c r="AG30" s="101"/>
      <c r="AH30" s="101"/>
      <c r="AI30" s="101"/>
      <c r="AJ30" s="101"/>
      <c r="AK30" s="101"/>
    </row>
    <row r="31" spans="1:37" s="94" customFormat="1" ht="12.75" x14ac:dyDescent="0.2">
      <c r="A31" s="209">
        <v>16</v>
      </c>
      <c r="B31" s="91"/>
      <c r="C31" s="82" t="s">
        <v>98</v>
      </c>
      <c r="D31" s="82"/>
      <c r="E31" s="92"/>
      <c r="F31" s="157"/>
      <c r="G31" s="296"/>
      <c r="H31" s="264"/>
      <c r="I31" s="235"/>
      <c r="J31" s="235"/>
      <c r="K31" s="235"/>
      <c r="L31" s="235"/>
      <c r="M31" s="235"/>
      <c r="N31" s="235"/>
      <c r="O31" s="235"/>
      <c r="P31" s="235"/>
      <c r="Q31" s="235"/>
      <c r="R31" s="235"/>
      <c r="S31" s="235"/>
      <c r="T31" s="379"/>
      <c r="U31" s="234"/>
      <c r="V31" s="234"/>
      <c r="W31" s="234"/>
      <c r="X31" s="234"/>
      <c r="Y31" s="234"/>
      <c r="Z31" s="234"/>
      <c r="AA31" s="234"/>
      <c r="AB31" s="234"/>
      <c r="AC31" s="234"/>
      <c r="AD31" s="234"/>
      <c r="AE31" s="234"/>
      <c r="AF31" s="234"/>
      <c r="AG31" s="234"/>
      <c r="AH31" s="234"/>
      <c r="AI31" s="234"/>
      <c r="AJ31" s="234"/>
      <c r="AK31" s="234"/>
    </row>
    <row r="32" spans="1:37" x14ac:dyDescent="0.2">
      <c r="A32" s="207">
        <v>17</v>
      </c>
      <c r="B32" s="42"/>
      <c r="C32" s="43"/>
      <c r="D32" s="43"/>
      <c r="E32" s="22"/>
      <c r="F32" s="158"/>
      <c r="G32" s="295"/>
      <c r="H32" s="270"/>
      <c r="I32" s="379"/>
      <c r="J32" s="379"/>
      <c r="K32" s="379"/>
      <c r="L32" s="379"/>
      <c r="M32" s="379"/>
      <c r="N32" s="379"/>
      <c r="O32" s="379"/>
      <c r="P32" s="379"/>
      <c r="Q32" s="379"/>
      <c r="R32" s="379"/>
      <c r="S32" s="379"/>
      <c r="T32" s="379"/>
      <c r="U32" s="101"/>
      <c r="V32" s="101"/>
      <c r="W32" s="101"/>
      <c r="X32" s="101"/>
      <c r="Y32" s="101"/>
      <c r="Z32" s="101"/>
      <c r="AA32" s="101"/>
      <c r="AB32" s="101"/>
      <c r="AC32" s="101"/>
      <c r="AD32" s="101"/>
      <c r="AE32" s="101"/>
      <c r="AF32" s="101"/>
      <c r="AG32" s="101"/>
      <c r="AH32" s="101"/>
      <c r="AI32" s="101"/>
      <c r="AJ32" s="101"/>
      <c r="AK32" s="101"/>
    </row>
    <row r="33" spans="1:37" ht="15" thickBot="1" x14ac:dyDescent="0.25">
      <c r="A33" s="239">
        <v>18</v>
      </c>
      <c r="B33" s="240" t="s">
        <v>113</v>
      </c>
      <c r="C33" s="241"/>
      <c r="D33" s="241"/>
      <c r="E33" s="242"/>
      <c r="F33" s="243"/>
      <c r="G33" s="298">
        <f>SUM(G24:G32)</f>
        <v>1766855.6143234726</v>
      </c>
      <c r="H33" s="272"/>
      <c r="I33" s="379"/>
      <c r="J33" s="379"/>
      <c r="K33" s="379"/>
      <c r="L33" s="379"/>
      <c r="M33" s="379"/>
      <c r="N33" s="379"/>
      <c r="O33" s="379"/>
      <c r="P33" s="379"/>
      <c r="Q33" s="379"/>
      <c r="R33" s="379"/>
      <c r="S33" s="379"/>
      <c r="T33" s="379"/>
      <c r="U33" s="101"/>
      <c r="V33" s="101"/>
      <c r="W33" s="101"/>
      <c r="X33" s="101"/>
      <c r="Y33" s="101"/>
      <c r="Z33" s="101"/>
      <c r="AA33" s="101"/>
      <c r="AB33" s="101"/>
      <c r="AC33" s="101"/>
      <c r="AD33" s="101"/>
      <c r="AE33" s="101"/>
      <c r="AF33" s="101"/>
      <c r="AG33" s="101"/>
      <c r="AH33" s="101"/>
      <c r="AI33" s="101"/>
      <c r="AJ33" s="101"/>
      <c r="AK33" s="101"/>
    </row>
    <row r="34" spans="1:37" s="101" customFormat="1" ht="15" thickTop="1" x14ac:dyDescent="0.2">
      <c r="A34" s="100"/>
      <c r="E34" s="102"/>
      <c r="F34" s="102"/>
      <c r="G34" s="256"/>
      <c r="H34" s="273"/>
    </row>
    <row r="35" spans="1:37" s="101" customFormat="1" x14ac:dyDescent="0.2">
      <c r="A35" s="100"/>
      <c r="E35" s="102"/>
      <c r="F35" s="102"/>
      <c r="G35" s="256"/>
      <c r="H35" s="273"/>
    </row>
    <row r="36" spans="1:37" s="101" customFormat="1" x14ac:dyDescent="0.2">
      <c r="A36" s="100"/>
      <c r="E36" s="102"/>
      <c r="F36" s="102"/>
      <c r="G36" s="256"/>
      <c r="H36" s="273"/>
    </row>
    <row r="37" spans="1:37" s="101" customFormat="1" x14ac:dyDescent="0.2">
      <c r="A37" s="100"/>
      <c r="E37" s="102"/>
      <c r="F37" s="102"/>
      <c r="G37" s="256"/>
      <c r="H37" s="273"/>
    </row>
    <row r="38" spans="1:37" s="101" customFormat="1" ht="42" customHeight="1" x14ac:dyDescent="0.2">
      <c r="A38" s="607" t="s">
        <v>114</v>
      </c>
      <c r="B38" s="607"/>
      <c r="C38" s="607"/>
      <c r="D38" s="607"/>
      <c r="E38" s="607"/>
      <c r="F38" s="607"/>
      <c r="G38" s="607"/>
      <c r="H38" s="607"/>
      <c r="I38" s="560"/>
      <c r="J38" s="560"/>
      <c r="K38" s="560"/>
      <c r="L38" s="560"/>
    </row>
    <row r="39" spans="1:37" s="101" customFormat="1" x14ac:dyDescent="0.2">
      <c r="A39" s="100"/>
      <c r="E39" s="102"/>
      <c r="F39" s="102"/>
      <c r="G39" s="256"/>
      <c r="H39" s="273"/>
    </row>
    <row r="40" spans="1:37" s="101" customFormat="1" ht="15" thickBot="1" x14ac:dyDescent="0.25">
      <c r="A40" s="100"/>
      <c r="E40" s="102"/>
      <c r="F40" s="102"/>
      <c r="G40" s="256"/>
      <c r="H40" s="273"/>
    </row>
    <row r="41" spans="1:37" ht="15" thickTop="1" x14ac:dyDescent="0.2">
      <c r="A41" s="244"/>
      <c r="B41" s="245" t="s">
        <v>115</v>
      </c>
      <c r="C41" s="246"/>
      <c r="D41" s="246"/>
      <c r="E41" s="247"/>
      <c r="F41" s="248"/>
      <c r="G41" s="299"/>
      <c r="H41" s="288"/>
      <c r="I41" s="379"/>
      <c r="J41" s="379"/>
      <c r="K41" s="379"/>
      <c r="L41" s="379"/>
      <c r="M41" s="379"/>
      <c r="N41" s="379"/>
      <c r="O41" s="379"/>
      <c r="P41" s="379"/>
      <c r="Q41" s="379"/>
      <c r="R41" s="379"/>
      <c r="S41" s="379"/>
      <c r="T41" s="379"/>
      <c r="U41" s="101"/>
      <c r="V41" s="101"/>
      <c r="W41" s="101"/>
      <c r="X41" s="101"/>
      <c r="Y41" s="101"/>
    </row>
    <row r="42" spans="1:37" x14ac:dyDescent="0.2">
      <c r="A42" s="205"/>
      <c r="B42" s="36"/>
      <c r="C42" s="9" t="s">
        <v>116</v>
      </c>
      <c r="D42" s="9"/>
      <c r="E42" s="61"/>
      <c r="F42" s="154"/>
      <c r="G42" s="293"/>
      <c r="H42" s="259"/>
      <c r="I42" s="379"/>
      <c r="J42" s="379"/>
      <c r="K42" s="379"/>
      <c r="L42" s="379"/>
      <c r="M42" s="379"/>
      <c r="N42" s="379"/>
      <c r="O42" s="379"/>
      <c r="P42" s="379"/>
      <c r="Q42" s="379"/>
      <c r="R42" s="379"/>
      <c r="S42" s="379"/>
      <c r="T42" s="379"/>
      <c r="U42" s="101"/>
      <c r="V42" s="101"/>
      <c r="W42" s="101"/>
      <c r="X42" s="101"/>
      <c r="Y42" s="101"/>
    </row>
    <row r="43" spans="1:37" x14ac:dyDescent="0.2">
      <c r="A43" s="205">
        <v>19</v>
      </c>
      <c r="B43" s="36"/>
      <c r="C43" s="9"/>
      <c r="D43" s="9" t="s">
        <v>117</v>
      </c>
      <c r="E43" s="18"/>
      <c r="F43" s="155" t="s">
        <v>118</v>
      </c>
      <c r="G43" s="294"/>
      <c r="H43" s="260"/>
      <c r="I43" s="379"/>
      <c r="J43" s="379"/>
      <c r="K43" s="379"/>
      <c r="L43" s="379"/>
      <c r="M43" s="379"/>
      <c r="N43" s="379"/>
      <c r="O43" s="379"/>
      <c r="P43" s="379"/>
      <c r="Q43" s="379"/>
      <c r="R43" s="379"/>
      <c r="S43" s="379"/>
      <c r="T43" s="379"/>
      <c r="U43" s="101"/>
      <c r="V43" s="101"/>
      <c r="W43" s="101"/>
      <c r="X43" s="101"/>
      <c r="Y43" s="101"/>
    </row>
    <row r="44" spans="1:37" x14ac:dyDescent="0.2">
      <c r="A44" s="205"/>
      <c r="B44" s="36"/>
      <c r="C44" s="9" t="s">
        <v>119</v>
      </c>
      <c r="D44" s="9"/>
      <c r="E44" s="61"/>
      <c r="F44" s="154"/>
      <c r="G44" s="293"/>
      <c r="H44" s="259"/>
      <c r="I44" s="379"/>
      <c r="J44" s="379"/>
      <c r="K44" s="379"/>
      <c r="L44" s="379"/>
      <c r="M44" s="379"/>
      <c r="N44" s="379"/>
      <c r="O44" s="379"/>
      <c r="P44" s="379"/>
      <c r="Q44" s="379"/>
      <c r="R44" s="379"/>
      <c r="S44" s="379"/>
      <c r="T44" s="379"/>
      <c r="U44" s="101"/>
      <c r="V44" s="101"/>
      <c r="W44" s="101"/>
      <c r="X44" s="101"/>
      <c r="Y44" s="101"/>
    </row>
    <row r="45" spans="1:37" x14ac:dyDescent="0.2">
      <c r="A45" s="205">
        <v>20</v>
      </c>
      <c r="B45" s="36"/>
      <c r="C45" s="9"/>
      <c r="D45" s="9" t="s">
        <v>120</v>
      </c>
      <c r="E45" s="18"/>
      <c r="F45" s="155" t="s">
        <v>121</v>
      </c>
      <c r="G45" s="294"/>
      <c r="H45" s="339"/>
      <c r="I45" s="379"/>
      <c r="J45" s="379"/>
      <c r="K45" s="379"/>
      <c r="L45" s="379"/>
      <c r="M45" s="379"/>
      <c r="N45" s="379"/>
      <c r="O45" s="379"/>
      <c r="P45" s="379"/>
      <c r="Q45" s="379"/>
      <c r="R45" s="379"/>
      <c r="S45" s="379"/>
      <c r="T45" s="379"/>
      <c r="U45" s="101"/>
      <c r="V45" s="101"/>
      <c r="W45" s="101"/>
      <c r="X45" s="101"/>
      <c r="Y45" s="101"/>
    </row>
    <row r="46" spans="1:37" x14ac:dyDescent="0.2">
      <c r="A46" s="205"/>
      <c r="B46" s="36"/>
      <c r="C46" s="9" t="s">
        <v>122</v>
      </c>
      <c r="D46" s="9"/>
      <c r="E46" s="61"/>
      <c r="F46" s="154"/>
      <c r="G46" s="293"/>
      <c r="H46" s="259"/>
      <c r="I46" s="379"/>
      <c r="J46" s="379"/>
      <c r="K46" s="379"/>
      <c r="L46" s="379"/>
      <c r="M46" s="379"/>
      <c r="N46" s="379"/>
      <c r="O46" s="379"/>
      <c r="P46" s="379"/>
      <c r="Q46" s="379"/>
      <c r="R46" s="379"/>
      <c r="S46" s="379"/>
      <c r="T46" s="379"/>
      <c r="U46" s="101"/>
      <c r="V46" s="101"/>
      <c r="W46" s="101"/>
      <c r="X46" s="101"/>
      <c r="Y46" s="101"/>
    </row>
    <row r="47" spans="1:37" x14ac:dyDescent="0.2">
      <c r="A47" s="205">
        <v>21</v>
      </c>
      <c r="B47" s="36"/>
      <c r="C47" s="9"/>
      <c r="D47" s="9" t="s">
        <v>123</v>
      </c>
      <c r="E47" s="18"/>
      <c r="F47" s="155" t="s">
        <v>124</v>
      </c>
      <c r="G47" s="294">
        <f>+'Rev &amp; Exp Assumptions'!D7</f>
        <v>314053.76897321432</v>
      </c>
      <c r="H47" s="270" t="s">
        <v>125</v>
      </c>
      <c r="I47" s="379"/>
      <c r="J47" s="379"/>
      <c r="K47" s="379"/>
      <c r="L47" s="379"/>
      <c r="M47" s="379"/>
      <c r="N47" s="379"/>
      <c r="O47" s="379"/>
      <c r="P47" s="379"/>
      <c r="Q47" s="379"/>
      <c r="R47" s="379"/>
      <c r="S47" s="379"/>
      <c r="T47" s="379"/>
      <c r="U47" s="101"/>
      <c r="V47" s="101"/>
      <c r="W47" s="101"/>
      <c r="X47" s="101"/>
      <c r="Y47" s="101"/>
    </row>
    <row r="48" spans="1:37" x14ac:dyDescent="0.2">
      <c r="A48" s="205"/>
      <c r="B48" s="36"/>
      <c r="C48" s="9"/>
      <c r="D48" s="9" t="s">
        <v>126</v>
      </c>
      <c r="E48" s="61"/>
      <c r="F48" s="154"/>
      <c r="G48" s="293"/>
      <c r="H48" s="259"/>
      <c r="I48" s="379"/>
      <c r="J48" s="379"/>
      <c r="K48" s="379"/>
      <c r="L48" s="379"/>
      <c r="M48" s="379"/>
      <c r="N48" s="379"/>
      <c r="O48" s="379"/>
      <c r="P48" s="379"/>
      <c r="Q48" s="379"/>
      <c r="R48" s="379"/>
      <c r="S48" s="379"/>
      <c r="T48" s="379"/>
      <c r="U48" s="101"/>
      <c r="V48" s="101"/>
      <c r="W48" s="101"/>
      <c r="X48" s="101"/>
      <c r="Y48" s="101"/>
    </row>
    <row r="49" spans="1:25" x14ac:dyDescent="0.2">
      <c r="A49" s="205">
        <v>22</v>
      </c>
      <c r="B49" s="36"/>
      <c r="C49" s="9"/>
      <c r="D49" s="9" t="s">
        <v>127</v>
      </c>
      <c r="E49" s="18"/>
      <c r="F49" s="155" t="s">
        <v>128</v>
      </c>
      <c r="G49" s="294">
        <f>+'Rev &amp; Exp Assumptions'!D6</f>
        <v>90170.638736263732</v>
      </c>
      <c r="H49" s="270" t="s">
        <v>125</v>
      </c>
      <c r="I49" s="379"/>
      <c r="J49" s="379"/>
      <c r="K49" s="379"/>
      <c r="L49" s="379"/>
      <c r="M49" s="379"/>
      <c r="N49" s="379"/>
      <c r="O49" s="379"/>
      <c r="P49" s="379"/>
      <c r="Q49" s="379"/>
      <c r="R49" s="379"/>
      <c r="S49" s="379"/>
      <c r="T49" s="379"/>
      <c r="U49" s="101"/>
      <c r="V49" s="101"/>
      <c r="W49" s="101"/>
      <c r="X49" s="101"/>
      <c r="Y49" s="101"/>
    </row>
    <row r="50" spans="1:25" x14ac:dyDescent="0.2">
      <c r="A50" s="205">
        <v>23</v>
      </c>
      <c r="B50" s="36"/>
      <c r="C50" s="9"/>
      <c r="D50" s="9" t="s">
        <v>129</v>
      </c>
      <c r="E50" s="18"/>
      <c r="F50" s="155" t="s">
        <v>130</v>
      </c>
      <c r="G50" s="294"/>
      <c r="H50" s="260"/>
      <c r="I50" s="379"/>
      <c r="J50" s="379"/>
      <c r="K50" s="379"/>
      <c r="L50" s="379"/>
      <c r="M50" s="379"/>
      <c r="N50" s="379"/>
      <c r="O50" s="379"/>
      <c r="P50" s="379"/>
      <c r="Q50" s="379"/>
      <c r="R50" s="379"/>
      <c r="S50" s="379"/>
      <c r="T50" s="379"/>
      <c r="U50" s="101"/>
      <c r="V50" s="101"/>
      <c r="W50" s="101"/>
      <c r="X50" s="101"/>
      <c r="Y50" s="101"/>
    </row>
    <row r="51" spans="1:25" x14ac:dyDescent="0.2">
      <c r="A51" s="205">
        <v>24</v>
      </c>
      <c r="B51" s="36"/>
      <c r="C51" s="9"/>
      <c r="D51" s="9" t="s">
        <v>131</v>
      </c>
      <c r="E51" s="18"/>
      <c r="F51" s="155" t="s">
        <v>132</v>
      </c>
      <c r="G51" s="294"/>
      <c r="H51" s="260"/>
      <c r="I51" s="379"/>
      <c r="J51" s="379"/>
      <c r="K51" s="379"/>
      <c r="L51" s="379"/>
      <c r="M51" s="379"/>
      <c r="N51" s="379"/>
      <c r="O51" s="379"/>
      <c r="P51" s="379"/>
      <c r="Q51" s="379"/>
      <c r="R51" s="379"/>
      <c r="S51" s="379"/>
      <c r="T51" s="379"/>
      <c r="U51" s="101"/>
      <c r="V51" s="101"/>
      <c r="W51" s="101"/>
      <c r="X51" s="101"/>
      <c r="Y51" s="101"/>
    </row>
    <row r="52" spans="1:25" x14ac:dyDescent="0.2">
      <c r="A52" s="205"/>
      <c r="B52" s="36"/>
      <c r="C52" s="9"/>
      <c r="D52" s="9" t="s">
        <v>133</v>
      </c>
      <c r="E52" s="61"/>
      <c r="F52" s="154"/>
      <c r="G52" s="293"/>
      <c r="H52" s="259"/>
      <c r="I52" s="379"/>
      <c r="J52" s="379"/>
      <c r="K52" s="379"/>
      <c r="L52" s="379"/>
      <c r="M52" s="379"/>
      <c r="N52" s="379"/>
      <c r="O52" s="379"/>
      <c r="P52" s="379"/>
      <c r="Q52" s="379"/>
      <c r="R52" s="379"/>
      <c r="S52" s="379"/>
      <c r="T52" s="379"/>
      <c r="U52" s="101"/>
      <c r="V52" s="101"/>
      <c r="W52" s="101"/>
      <c r="X52" s="101"/>
      <c r="Y52" s="101"/>
    </row>
    <row r="53" spans="1:25" x14ac:dyDescent="0.2">
      <c r="A53" s="205">
        <v>25</v>
      </c>
      <c r="B53" s="36"/>
      <c r="C53" s="9"/>
      <c r="D53" s="9" t="s">
        <v>134</v>
      </c>
      <c r="E53" s="18"/>
      <c r="F53" s="155" t="s">
        <v>135</v>
      </c>
      <c r="G53" s="294">
        <f>+'Rev &amp; Exp Assumptions'!D5</f>
        <v>376597.35200071824</v>
      </c>
      <c r="H53" s="270" t="s">
        <v>125</v>
      </c>
      <c r="I53" s="379"/>
      <c r="J53" s="379"/>
      <c r="K53" s="379"/>
      <c r="L53" s="379"/>
      <c r="M53" s="379"/>
      <c r="N53" s="379"/>
      <c r="O53" s="379"/>
      <c r="P53" s="379"/>
      <c r="Q53" s="379"/>
      <c r="R53" s="379"/>
      <c r="S53" s="379"/>
      <c r="T53" s="379"/>
      <c r="U53" s="101"/>
      <c r="V53" s="101"/>
      <c r="W53" s="101"/>
      <c r="X53" s="101"/>
      <c r="Y53" s="101"/>
    </row>
    <row r="54" spans="1:25" x14ac:dyDescent="0.2">
      <c r="A54" s="205">
        <v>26</v>
      </c>
      <c r="B54" s="36"/>
      <c r="C54" s="9"/>
      <c r="D54" s="9" t="s">
        <v>136</v>
      </c>
      <c r="E54" s="18"/>
      <c r="F54" s="155" t="s">
        <v>137</v>
      </c>
      <c r="G54" s="294"/>
      <c r="H54" s="260"/>
      <c r="I54" s="379"/>
      <c r="J54" s="379"/>
      <c r="K54" s="379"/>
      <c r="L54" s="379"/>
      <c r="M54" s="379"/>
      <c r="N54" s="379"/>
      <c r="O54" s="379"/>
      <c r="P54" s="379"/>
      <c r="Q54" s="379"/>
      <c r="R54" s="379"/>
      <c r="S54" s="379"/>
      <c r="T54" s="379"/>
      <c r="U54" s="101"/>
      <c r="V54" s="101"/>
      <c r="W54" s="101"/>
      <c r="X54" s="101"/>
      <c r="Y54" s="101"/>
    </row>
    <row r="55" spans="1:25" x14ac:dyDescent="0.2">
      <c r="A55" s="205">
        <v>27</v>
      </c>
      <c r="B55" s="36"/>
      <c r="C55" s="9"/>
      <c r="D55" s="9" t="s">
        <v>138</v>
      </c>
      <c r="E55" s="18"/>
      <c r="F55" s="155" t="s">
        <v>139</v>
      </c>
      <c r="G55" s="294"/>
      <c r="H55" s="260"/>
      <c r="I55" s="379"/>
      <c r="J55" s="379"/>
      <c r="K55" s="379"/>
      <c r="L55" s="379"/>
      <c r="M55" s="379"/>
      <c r="N55" s="379"/>
      <c r="O55" s="379"/>
      <c r="P55" s="379"/>
      <c r="Q55" s="379"/>
      <c r="R55" s="379"/>
      <c r="S55" s="379"/>
      <c r="T55" s="379"/>
      <c r="U55" s="101"/>
      <c r="V55" s="101"/>
      <c r="W55" s="101"/>
      <c r="X55" s="101"/>
      <c r="Y55" s="101"/>
    </row>
    <row r="56" spans="1:25" x14ac:dyDescent="0.2">
      <c r="A56" s="205">
        <v>28</v>
      </c>
      <c r="B56" s="36"/>
      <c r="C56" s="9"/>
      <c r="D56" s="9" t="s">
        <v>140</v>
      </c>
      <c r="E56" s="18"/>
      <c r="F56" s="155" t="s">
        <v>141</v>
      </c>
      <c r="G56" s="294"/>
      <c r="H56" s="260"/>
      <c r="I56" s="379"/>
      <c r="J56" s="379"/>
      <c r="K56" s="379"/>
      <c r="L56" s="379"/>
      <c r="M56" s="379"/>
      <c r="N56" s="379"/>
      <c r="O56" s="379"/>
      <c r="P56" s="379"/>
      <c r="Q56" s="379"/>
      <c r="R56" s="379"/>
      <c r="S56" s="379"/>
      <c r="T56" s="379"/>
      <c r="U56" s="101"/>
      <c r="V56" s="101"/>
      <c r="W56" s="101"/>
      <c r="X56" s="101"/>
      <c r="Y56" s="101"/>
    </row>
    <row r="57" spans="1:25" x14ac:dyDescent="0.2">
      <c r="A57" s="205">
        <v>29</v>
      </c>
      <c r="B57" s="36"/>
      <c r="C57" s="9"/>
      <c r="D57" s="9" t="s">
        <v>142</v>
      </c>
      <c r="E57" s="18"/>
      <c r="F57" s="155" t="s">
        <v>143</v>
      </c>
      <c r="G57" s="294"/>
      <c r="H57" s="269"/>
      <c r="I57" s="379"/>
      <c r="J57" s="379"/>
      <c r="K57" s="379"/>
      <c r="L57" s="379"/>
      <c r="M57" s="379"/>
      <c r="N57" s="379"/>
      <c r="O57" s="379"/>
      <c r="P57" s="379"/>
      <c r="Q57" s="379"/>
      <c r="R57" s="379"/>
      <c r="S57" s="379"/>
      <c r="T57" s="379"/>
      <c r="U57" s="101"/>
      <c r="V57" s="101"/>
      <c r="W57" s="101"/>
      <c r="X57" s="101"/>
      <c r="Y57" s="101"/>
    </row>
    <row r="58" spans="1:25" x14ac:dyDescent="0.2">
      <c r="A58" s="205">
        <v>30</v>
      </c>
      <c r="B58" s="36"/>
      <c r="C58" s="9"/>
      <c r="D58" s="9" t="s">
        <v>144</v>
      </c>
      <c r="E58" s="18"/>
      <c r="F58" s="155" t="s">
        <v>145</v>
      </c>
      <c r="G58" s="294"/>
      <c r="H58" s="260"/>
      <c r="I58" s="379"/>
      <c r="J58" s="379"/>
      <c r="K58" s="379"/>
      <c r="L58" s="379"/>
      <c r="M58" s="379"/>
      <c r="N58" s="379"/>
      <c r="O58" s="379"/>
      <c r="P58" s="379"/>
      <c r="Q58" s="379"/>
      <c r="R58" s="379"/>
      <c r="S58" s="379"/>
      <c r="T58" s="379"/>
      <c r="U58" s="101"/>
      <c r="V58" s="101"/>
      <c r="W58" s="101"/>
      <c r="X58" s="101"/>
      <c r="Y58" s="101"/>
    </row>
    <row r="59" spans="1:25" x14ac:dyDescent="0.2">
      <c r="A59" s="205">
        <v>31</v>
      </c>
      <c r="B59" s="36"/>
      <c r="C59" s="9"/>
      <c r="D59" s="9" t="s">
        <v>146</v>
      </c>
      <c r="E59" s="18"/>
      <c r="F59" s="155" t="s">
        <v>147</v>
      </c>
      <c r="G59" s="294"/>
      <c r="H59" s="269"/>
      <c r="I59" s="379"/>
      <c r="J59" s="379"/>
      <c r="K59" s="379"/>
      <c r="L59" s="379"/>
      <c r="M59" s="379"/>
      <c r="N59" s="379"/>
      <c r="O59" s="379"/>
      <c r="P59" s="379"/>
      <c r="Q59" s="379"/>
      <c r="R59" s="379"/>
      <c r="S59" s="379"/>
      <c r="T59" s="379"/>
      <c r="U59" s="101"/>
      <c r="V59" s="101"/>
      <c r="W59" s="101"/>
      <c r="X59" s="101"/>
      <c r="Y59" s="101"/>
    </row>
    <row r="60" spans="1:25" x14ac:dyDescent="0.2">
      <c r="A60" s="205"/>
      <c r="B60" s="36"/>
      <c r="C60" s="9" t="s">
        <v>148</v>
      </c>
      <c r="D60" s="9"/>
      <c r="E60" s="73"/>
      <c r="F60" s="156"/>
      <c r="G60" s="300"/>
      <c r="H60" s="289"/>
      <c r="I60" s="379"/>
      <c r="J60" s="379"/>
      <c r="K60" s="379"/>
      <c r="L60" s="379"/>
      <c r="M60" s="379"/>
      <c r="N60" s="379"/>
      <c r="O60" s="379"/>
      <c r="P60" s="379"/>
      <c r="Q60" s="379"/>
      <c r="R60" s="379"/>
      <c r="S60" s="379"/>
      <c r="T60" s="379"/>
      <c r="U60" s="101"/>
      <c r="V60" s="101"/>
      <c r="W60" s="101"/>
      <c r="X60" s="101"/>
      <c r="Y60" s="101"/>
    </row>
    <row r="61" spans="1:25" x14ac:dyDescent="0.2">
      <c r="A61" s="205">
        <v>32</v>
      </c>
      <c r="B61" s="36"/>
      <c r="C61" s="9"/>
      <c r="D61" s="9" t="s">
        <v>149</v>
      </c>
      <c r="E61" s="18"/>
      <c r="F61" s="155" t="s">
        <v>150</v>
      </c>
      <c r="G61" s="294"/>
      <c r="H61" s="260"/>
      <c r="I61" s="379"/>
      <c r="J61" s="379"/>
      <c r="K61" s="379"/>
      <c r="L61" s="379"/>
      <c r="M61" s="379"/>
      <c r="N61" s="379"/>
      <c r="O61" s="379"/>
      <c r="P61" s="379"/>
      <c r="Q61" s="379"/>
      <c r="R61" s="379"/>
      <c r="S61" s="379"/>
      <c r="T61" s="379"/>
      <c r="U61" s="101"/>
      <c r="V61" s="101"/>
      <c r="W61" s="101"/>
      <c r="X61" s="101"/>
      <c r="Y61" s="101"/>
    </row>
    <row r="62" spans="1:25" s="94" customFormat="1" ht="14.25" customHeight="1" x14ac:dyDescent="0.2">
      <c r="A62" s="209">
        <v>33</v>
      </c>
      <c r="B62" s="91"/>
      <c r="C62" s="82" t="s">
        <v>98</v>
      </c>
      <c r="D62" s="82"/>
      <c r="E62" s="92"/>
      <c r="F62" s="157"/>
      <c r="G62" s="296"/>
      <c r="H62" s="262"/>
      <c r="I62" s="235"/>
      <c r="J62" s="235"/>
      <c r="K62" s="235"/>
      <c r="L62" s="235"/>
      <c r="M62" s="235"/>
      <c r="N62" s="235"/>
      <c r="O62" s="235"/>
      <c r="P62" s="235"/>
      <c r="Q62" s="235"/>
      <c r="R62" s="235"/>
      <c r="S62" s="235"/>
      <c r="T62" s="379"/>
      <c r="U62" s="234"/>
      <c r="V62" s="234"/>
      <c r="W62" s="234"/>
      <c r="X62" s="234"/>
      <c r="Y62" s="234"/>
    </row>
    <row r="63" spans="1:25" s="94" customFormat="1" ht="14.25" customHeight="1" x14ac:dyDescent="0.2">
      <c r="A63" s="209">
        <v>34</v>
      </c>
      <c r="B63" s="91"/>
      <c r="C63" s="82"/>
      <c r="D63" s="82"/>
      <c r="E63" s="92"/>
      <c r="F63" s="157"/>
      <c r="G63" s="296"/>
      <c r="H63" s="262"/>
      <c r="I63" s="235"/>
      <c r="J63" s="235"/>
      <c r="K63" s="235"/>
      <c r="L63" s="235"/>
      <c r="M63" s="235"/>
      <c r="N63" s="235"/>
      <c r="O63" s="235"/>
      <c r="P63" s="235"/>
      <c r="Q63" s="235"/>
      <c r="R63" s="235"/>
      <c r="S63" s="235"/>
      <c r="T63" s="379"/>
      <c r="U63" s="234"/>
      <c r="V63" s="234"/>
      <c r="W63" s="234"/>
      <c r="X63" s="234"/>
      <c r="Y63" s="234"/>
    </row>
    <row r="64" spans="1:25" x14ac:dyDescent="0.2">
      <c r="A64" s="207">
        <v>35</v>
      </c>
      <c r="B64" s="42"/>
      <c r="C64" s="43"/>
      <c r="D64" s="43"/>
      <c r="E64" s="22"/>
      <c r="F64" s="158"/>
      <c r="G64" s="295"/>
      <c r="H64" s="261"/>
      <c r="I64" s="379"/>
      <c r="J64" s="379"/>
      <c r="K64" s="379"/>
      <c r="L64" s="379"/>
      <c r="M64" s="379"/>
      <c r="N64" s="379"/>
      <c r="O64" s="379"/>
      <c r="P64" s="379"/>
      <c r="Q64" s="379"/>
      <c r="R64" s="379"/>
      <c r="S64" s="379"/>
      <c r="T64" s="379"/>
      <c r="U64" s="101"/>
      <c r="V64" s="101"/>
      <c r="W64" s="101"/>
      <c r="X64" s="101"/>
      <c r="Y64" s="101"/>
    </row>
    <row r="65" spans="1:25" x14ac:dyDescent="0.2">
      <c r="A65" s="210">
        <v>36</v>
      </c>
      <c r="B65" s="47" t="s">
        <v>151</v>
      </c>
      <c r="C65" s="6"/>
      <c r="D65" s="6"/>
      <c r="E65" s="49"/>
      <c r="F65" s="159"/>
      <c r="G65" s="297">
        <f>SUM(G42:G64)</f>
        <v>780821.75971019629</v>
      </c>
      <c r="H65" s="263"/>
      <c r="I65" s="379"/>
      <c r="J65" s="379"/>
      <c r="K65" s="379"/>
      <c r="L65" s="379"/>
      <c r="M65" s="379"/>
      <c r="N65" s="379"/>
      <c r="O65" s="379"/>
      <c r="P65" s="379"/>
      <c r="Q65" s="379"/>
      <c r="R65" s="379"/>
      <c r="S65" s="379"/>
      <c r="T65" s="379"/>
      <c r="U65" s="101"/>
      <c r="V65" s="101"/>
      <c r="W65" s="101"/>
      <c r="X65" s="101"/>
      <c r="Y65" s="101"/>
    </row>
    <row r="66" spans="1:25" x14ac:dyDescent="0.2">
      <c r="A66" s="205"/>
      <c r="B66" s="36"/>
      <c r="C66" s="9"/>
      <c r="D66" s="9"/>
      <c r="E66" s="61"/>
      <c r="F66" s="154"/>
      <c r="G66" s="293"/>
      <c r="H66" s="259"/>
      <c r="I66" s="379"/>
      <c r="J66" s="379"/>
      <c r="K66" s="379"/>
      <c r="L66" s="379"/>
      <c r="M66" s="379"/>
      <c r="N66" s="379"/>
      <c r="O66" s="379"/>
      <c r="P66" s="379"/>
      <c r="Q66" s="379"/>
      <c r="R66" s="379"/>
      <c r="S66" s="379"/>
      <c r="T66" s="379"/>
      <c r="U66" s="101"/>
      <c r="V66" s="101"/>
      <c r="W66" s="101"/>
      <c r="X66" s="101"/>
      <c r="Y66" s="101"/>
    </row>
    <row r="67" spans="1:25" s="13" customFormat="1" x14ac:dyDescent="0.2">
      <c r="A67" s="212"/>
      <c r="B67" s="25" t="s">
        <v>152</v>
      </c>
      <c r="C67" s="11"/>
      <c r="D67" s="11"/>
      <c r="E67" s="61"/>
      <c r="F67" s="154"/>
      <c r="G67" s="293"/>
      <c r="H67" s="259"/>
      <c r="I67" s="379"/>
      <c r="J67" s="379"/>
      <c r="K67" s="379"/>
      <c r="L67" s="379"/>
      <c r="M67" s="379"/>
      <c r="N67" s="379"/>
      <c r="O67" s="379"/>
      <c r="P67" s="379"/>
      <c r="Q67" s="379"/>
      <c r="R67" s="379"/>
      <c r="S67" s="379"/>
      <c r="T67" s="379"/>
      <c r="U67" s="101"/>
      <c r="V67" s="101"/>
      <c r="W67" s="101"/>
      <c r="X67" s="101"/>
      <c r="Y67" s="101"/>
    </row>
    <row r="68" spans="1:25" s="99" customFormat="1" x14ac:dyDescent="0.2">
      <c r="A68" s="213">
        <v>37</v>
      </c>
      <c r="B68" s="95" t="s">
        <v>153</v>
      </c>
      <c r="C68" s="96"/>
      <c r="D68" s="96"/>
      <c r="E68" s="97"/>
      <c r="F68" s="160" t="s">
        <v>154</v>
      </c>
      <c r="G68" s="301">
        <f>+'Rev &amp; Exp Assumptions'!D8</f>
        <v>567.15315934065927</v>
      </c>
      <c r="H68" s="270" t="s">
        <v>125</v>
      </c>
      <c r="I68" s="379"/>
      <c r="J68" s="379"/>
      <c r="K68" s="379"/>
      <c r="L68" s="379"/>
      <c r="M68" s="379"/>
      <c r="N68" s="379"/>
      <c r="O68" s="379"/>
      <c r="P68" s="379"/>
      <c r="Q68" s="379"/>
      <c r="R68" s="379"/>
      <c r="S68" s="379"/>
      <c r="T68" s="379"/>
      <c r="U68" s="101"/>
      <c r="V68" s="101"/>
      <c r="W68" s="101"/>
      <c r="X68" s="101"/>
      <c r="Y68" s="101"/>
    </row>
    <row r="69" spans="1:25" ht="15" thickBot="1" x14ac:dyDescent="0.25">
      <c r="A69" s="207">
        <v>38</v>
      </c>
      <c r="B69" s="42"/>
      <c r="C69" s="43"/>
      <c r="D69" s="43"/>
      <c r="E69" s="133"/>
      <c r="F69" s="161"/>
      <c r="G69" s="302"/>
      <c r="H69" s="290"/>
      <c r="I69" s="379"/>
      <c r="J69" s="379"/>
      <c r="K69" s="379"/>
      <c r="L69" s="379"/>
      <c r="M69" s="379"/>
      <c r="N69" s="379"/>
      <c r="O69" s="379"/>
      <c r="P69" s="379"/>
      <c r="Q69" s="379"/>
      <c r="R69" s="379"/>
      <c r="S69" s="379"/>
      <c r="T69" s="379"/>
      <c r="U69" s="101"/>
      <c r="V69" s="101"/>
      <c r="W69" s="101"/>
      <c r="X69" s="101"/>
      <c r="Y69" s="101"/>
    </row>
    <row r="70" spans="1:25" ht="15" thickBot="1" x14ac:dyDescent="0.25">
      <c r="A70" s="214">
        <v>39</v>
      </c>
      <c r="B70" s="44" t="s">
        <v>155</v>
      </c>
      <c r="C70" s="7"/>
      <c r="D70" s="7"/>
      <c r="E70" s="45"/>
      <c r="F70" s="162"/>
      <c r="G70" s="303">
        <f>+G21+G33+G65+G68+G69</f>
        <v>5019675.2347822953</v>
      </c>
      <c r="H70" s="279"/>
      <c r="I70" s="379"/>
      <c r="J70" s="379"/>
      <c r="K70" s="379"/>
      <c r="L70" s="379"/>
      <c r="M70" s="379"/>
      <c r="N70" s="379"/>
      <c r="O70" s="379"/>
      <c r="P70" s="379"/>
      <c r="Q70" s="379"/>
      <c r="R70" s="379"/>
      <c r="S70" s="379"/>
      <c r="T70" s="379"/>
      <c r="U70" s="101"/>
      <c r="V70" s="101"/>
      <c r="W70" s="101"/>
      <c r="X70" s="101"/>
      <c r="Y70" s="101"/>
    </row>
    <row r="71" spans="1:25" s="13" customFormat="1" x14ac:dyDescent="0.2">
      <c r="A71" s="231"/>
      <c r="D71" s="174"/>
      <c r="E71" s="175"/>
      <c r="F71" s="175"/>
      <c r="G71" s="304"/>
      <c r="H71" s="175"/>
      <c r="I71" s="371"/>
      <c r="J71" s="371"/>
      <c r="K71" s="371"/>
      <c r="L71" s="371"/>
      <c r="M71" s="371"/>
      <c r="N71" s="371"/>
      <c r="O71" s="371"/>
      <c r="P71" s="371"/>
      <c r="Q71" s="371"/>
      <c r="R71" s="371"/>
      <c r="S71" s="371"/>
      <c r="T71" s="371"/>
      <c r="U71" s="101"/>
      <c r="V71" s="101"/>
      <c r="W71" s="101"/>
      <c r="X71" s="101"/>
      <c r="Y71" s="101"/>
    </row>
    <row r="72" spans="1:25" s="13" customFormat="1" x14ac:dyDescent="0.2">
      <c r="A72" s="231"/>
      <c r="E72" s="176"/>
      <c r="F72" s="176"/>
      <c r="G72" s="305"/>
      <c r="H72" s="176"/>
      <c r="I72" s="371"/>
      <c r="J72" s="371"/>
      <c r="K72" s="371"/>
      <c r="L72" s="371"/>
      <c r="M72" s="371"/>
      <c r="N72" s="371"/>
      <c r="O72" s="371"/>
      <c r="P72" s="371"/>
      <c r="Q72" s="371"/>
      <c r="R72" s="371"/>
      <c r="S72" s="371"/>
      <c r="T72" s="371"/>
      <c r="U72" s="101"/>
      <c r="V72" s="101"/>
      <c r="W72" s="101"/>
      <c r="X72" s="101"/>
      <c r="Y72" s="101"/>
    </row>
    <row r="73" spans="1:25" s="13" customFormat="1" x14ac:dyDescent="0.2">
      <c r="A73" s="231"/>
      <c r="E73" s="176"/>
      <c r="F73" s="176"/>
      <c r="G73" s="305"/>
      <c r="H73" s="176"/>
      <c r="I73" s="371"/>
      <c r="J73" s="371"/>
      <c r="K73" s="371"/>
      <c r="L73" s="371"/>
      <c r="M73" s="371"/>
      <c r="N73" s="371"/>
      <c r="O73" s="371"/>
      <c r="P73" s="371"/>
      <c r="Q73" s="371"/>
      <c r="R73" s="371"/>
      <c r="S73" s="371"/>
      <c r="T73" s="371"/>
      <c r="U73" s="101"/>
      <c r="V73" s="101"/>
      <c r="W73" s="101"/>
      <c r="X73" s="101"/>
      <c r="Y73" s="101"/>
    </row>
    <row r="74" spans="1:25" s="13" customFormat="1" ht="20.25" customHeight="1" x14ac:dyDescent="0.25">
      <c r="A74" s="216"/>
      <c r="B74" s="20" t="s">
        <v>156</v>
      </c>
      <c r="E74" s="14"/>
      <c r="F74" s="163"/>
      <c r="G74" s="306"/>
      <c r="H74" s="275"/>
      <c r="I74" s="379"/>
      <c r="J74" s="379"/>
      <c r="K74" s="379"/>
      <c r="L74" s="379"/>
      <c r="M74" s="379"/>
      <c r="N74" s="379"/>
      <c r="O74" s="379"/>
      <c r="P74" s="379"/>
      <c r="Q74" s="379"/>
      <c r="R74" s="379"/>
      <c r="S74" s="379"/>
      <c r="T74" s="379"/>
      <c r="U74" s="101"/>
      <c r="V74" s="101"/>
      <c r="W74" s="101"/>
      <c r="X74" s="101"/>
      <c r="Y74" s="101"/>
    </row>
    <row r="75" spans="1:25" x14ac:dyDescent="0.2">
      <c r="A75" s="216"/>
      <c r="D75" s="13"/>
      <c r="E75" s="14" t="s">
        <v>157</v>
      </c>
      <c r="F75" s="163"/>
      <c r="G75" s="306"/>
      <c r="H75" s="275"/>
      <c r="I75" s="379"/>
      <c r="J75" s="379"/>
      <c r="K75" s="379"/>
      <c r="L75" s="379"/>
      <c r="M75" s="379"/>
      <c r="N75" s="379"/>
      <c r="O75" s="379"/>
      <c r="P75" s="379"/>
      <c r="Q75" s="379"/>
      <c r="R75" s="379"/>
      <c r="S75" s="379"/>
      <c r="T75" s="379"/>
      <c r="U75" s="101"/>
      <c r="V75" s="101"/>
      <c r="W75" s="101"/>
      <c r="X75" s="101"/>
      <c r="Y75" s="101"/>
    </row>
    <row r="76" spans="1:25" s="4" customFormat="1" ht="15" x14ac:dyDescent="0.25">
      <c r="A76" s="217"/>
      <c r="B76" s="54" t="s">
        <v>158</v>
      </c>
      <c r="C76" s="55"/>
      <c r="D76" s="55"/>
      <c r="E76" s="63" t="s">
        <v>157</v>
      </c>
      <c r="F76" s="164"/>
      <c r="G76" s="307"/>
      <c r="H76" s="276"/>
      <c r="I76" s="236"/>
      <c r="J76" s="236"/>
      <c r="K76" s="236"/>
      <c r="L76" s="236"/>
      <c r="M76" s="236"/>
      <c r="N76" s="236"/>
      <c r="O76" s="236"/>
      <c r="P76" s="236"/>
      <c r="Q76" s="236"/>
      <c r="R76" s="236"/>
      <c r="S76" s="236"/>
      <c r="T76" s="236"/>
      <c r="U76" s="233"/>
      <c r="V76" s="233"/>
      <c r="W76" s="233"/>
      <c r="X76" s="233"/>
      <c r="Y76" s="233"/>
    </row>
    <row r="77" spans="1:25" s="4" customFormat="1" ht="15" x14ac:dyDescent="0.25">
      <c r="A77" s="218"/>
      <c r="B77" s="89" t="s">
        <v>159</v>
      </c>
      <c r="C77" s="56"/>
      <c r="D77" s="56"/>
      <c r="E77" s="65"/>
      <c r="F77" s="165"/>
      <c r="G77" s="308"/>
      <c r="H77" s="277"/>
      <c r="I77" s="236"/>
      <c r="J77" s="236"/>
      <c r="K77" s="236"/>
      <c r="L77" s="236"/>
      <c r="M77" s="236"/>
      <c r="N77" s="236"/>
      <c r="O77" s="236"/>
      <c r="P77" s="236"/>
      <c r="Q77" s="236"/>
      <c r="R77" s="236"/>
      <c r="S77" s="236"/>
      <c r="T77" s="236"/>
      <c r="U77" s="233"/>
      <c r="V77" s="233"/>
      <c r="W77" s="233"/>
      <c r="X77" s="233"/>
      <c r="Y77" s="233"/>
    </row>
    <row r="78" spans="1:25" x14ac:dyDescent="0.2">
      <c r="A78" s="219"/>
      <c r="B78" s="36"/>
      <c r="C78" s="9" t="s">
        <v>160</v>
      </c>
      <c r="D78" s="9"/>
      <c r="E78" s="61"/>
      <c r="F78" s="154"/>
      <c r="G78" s="293"/>
      <c r="H78" s="259"/>
      <c r="I78" s="379"/>
      <c r="J78" s="379"/>
      <c r="K78" s="379"/>
      <c r="L78" s="379"/>
      <c r="M78" s="379"/>
      <c r="N78" s="379"/>
      <c r="O78" s="379"/>
      <c r="P78" s="379"/>
      <c r="Q78" s="379"/>
      <c r="R78" s="379"/>
      <c r="S78" s="379"/>
      <c r="T78" s="379"/>
      <c r="U78" s="101"/>
      <c r="V78" s="101"/>
      <c r="W78" s="101"/>
      <c r="X78" s="101"/>
      <c r="Y78" s="101"/>
    </row>
    <row r="79" spans="1:25" x14ac:dyDescent="0.2">
      <c r="A79" s="219">
        <v>40</v>
      </c>
      <c r="B79" s="36"/>
      <c r="C79" s="9"/>
      <c r="D79" s="9" t="s">
        <v>161</v>
      </c>
      <c r="E79" s="18">
        <v>112</v>
      </c>
      <c r="F79" s="155">
        <v>1100</v>
      </c>
      <c r="G79" s="294">
        <v>1225000</v>
      </c>
      <c r="H79" s="269" t="s">
        <v>162</v>
      </c>
      <c r="I79" s="379"/>
      <c r="J79" s="379"/>
      <c r="K79" s="379"/>
      <c r="L79" s="379"/>
      <c r="M79" s="379"/>
      <c r="N79" s="379"/>
      <c r="O79" s="379"/>
      <c r="P79" s="379"/>
      <c r="Q79" s="379"/>
      <c r="R79" s="379"/>
      <c r="S79" s="379"/>
      <c r="T79" s="379"/>
      <c r="U79" s="101"/>
      <c r="V79" s="101"/>
      <c r="W79" s="101"/>
      <c r="X79" s="101"/>
      <c r="Y79" s="101"/>
    </row>
    <row r="80" spans="1:25" x14ac:dyDescent="0.2">
      <c r="A80" s="219">
        <v>41</v>
      </c>
      <c r="B80" s="36"/>
      <c r="C80" s="9"/>
      <c r="D80" s="9" t="s">
        <v>163</v>
      </c>
      <c r="E80" s="18" t="s">
        <v>164</v>
      </c>
      <c r="F80" s="155" t="s">
        <v>165</v>
      </c>
      <c r="G80" s="294">
        <v>120000</v>
      </c>
      <c r="H80" s="269" t="s">
        <v>162</v>
      </c>
      <c r="I80" s="379"/>
      <c r="J80" s="379"/>
      <c r="K80" s="379"/>
      <c r="L80" s="379"/>
      <c r="M80" s="379"/>
      <c r="N80" s="379"/>
      <c r="O80" s="379"/>
      <c r="P80" s="379"/>
      <c r="Q80" s="379"/>
      <c r="R80" s="379"/>
      <c r="S80" s="379"/>
      <c r="T80" s="379"/>
      <c r="U80" s="101"/>
      <c r="V80" s="101"/>
      <c r="W80" s="101"/>
      <c r="X80" s="101"/>
      <c r="Y80" s="101"/>
    </row>
    <row r="81" spans="1:25" x14ac:dyDescent="0.2">
      <c r="A81" s="219">
        <v>42</v>
      </c>
      <c r="B81" s="36"/>
      <c r="C81" s="9"/>
      <c r="D81" s="9" t="s">
        <v>166</v>
      </c>
      <c r="E81" s="18" t="s">
        <v>167</v>
      </c>
      <c r="F81" s="155" t="s">
        <v>165</v>
      </c>
      <c r="G81" s="294"/>
      <c r="H81" s="260"/>
      <c r="I81" s="379"/>
      <c r="J81" s="379"/>
      <c r="K81" s="379"/>
      <c r="L81" s="379"/>
      <c r="M81" s="379"/>
      <c r="N81" s="379"/>
      <c r="O81" s="379"/>
      <c r="P81" s="379"/>
      <c r="Q81" s="379"/>
      <c r="R81" s="379"/>
      <c r="S81" s="379"/>
      <c r="T81" s="379"/>
      <c r="U81" s="101"/>
      <c r="V81" s="101"/>
      <c r="W81" s="101"/>
      <c r="X81" s="101"/>
      <c r="Y81" s="101"/>
    </row>
    <row r="82" spans="1:25" x14ac:dyDescent="0.2">
      <c r="A82" s="219">
        <v>43</v>
      </c>
      <c r="B82" s="36"/>
      <c r="C82" s="9" t="s">
        <v>168</v>
      </c>
      <c r="D82" s="9"/>
      <c r="E82" s="18" t="s">
        <v>169</v>
      </c>
      <c r="F82" s="155" t="s">
        <v>165</v>
      </c>
      <c r="G82" s="294">
        <f>+'Rev &amp; Exp Assumptions'!D17</f>
        <v>19726.512190934067</v>
      </c>
      <c r="H82" s="269" t="s">
        <v>170</v>
      </c>
      <c r="I82" s="379"/>
      <c r="J82" s="379"/>
      <c r="K82" s="379"/>
      <c r="L82" s="379"/>
      <c r="M82" s="379"/>
      <c r="N82" s="379"/>
      <c r="O82" s="379"/>
      <c r="P82" s="379"/>
      <c r="Q82" s="379"/>
      <c r="R82" s="379"/>
      <c r="S82" s="379"/>
      <c r="T82" s="379"/>
      <c r="U82" s="101"/>
      <c r="V82" s="101"/>
      <c r="W82" s="101"/>
      <c r="X82" s="101"/>
      <c r="Y82" s="101"/>
    </row>
    <row r="83" spans="1:25" x14ac:dyDescent="0.2">
      <c r="A83" s="219">
        <v>44</v>
      </c>
      <c r="B83" s="36"/>
      <c r="C83" s="9" t="s">
        <v>171</v>
      </c>
      <c r="D83" s="9"/>
      <c r="E83" s="18" t="s">
        <v>172</v>
      </c>
      <c r="F83" s="155" t="s">
        <v>165</v>
      </c>
      <c r="G83" s="294"/>
      <c r="H83" s="260"/>
      <c r="I83" s="379"/>
      <c r="J83" s="379"/>
      <c r="K83" s="379"/>
      <c r="L83" s="379"/>
      <c r="M83" s="379"/>
      <c r="N83" s="379"/>
      <c r="O83" s="379"/>
      <c r="P83" s="379"/>
      <c r="Q83" s="379"/>
      <c r="R83" s="379"/>
      <c r="S83" s="379"/>
      <c r="T83" s="379"/>
      <c r="U83" s="101"/>
      <c r="V83" s="101"/>
      <c r="W83" s="101"/>
      <c r="X83" s="101"/>
      <c r="Y83" s="101"/>
    </row>
    <row r="84" spans="1:25" x14ac:dyDescent="0.2">
      <c r="A84" s="219">
        <v>45</v>
      </c>
      <c r="B84" s="36"/>
      <c r="C84" s="9" t="s">
        <v>173</v>
      </c>
      <c r="D84" s="9"/>
      <c r="E84" s="18" t="s">
        <v>174</v>
      </c>
      <c r="F84" s="155" t="s">
        <v>165</v>
      </c>
      <c r="G84" s="294"/>
      <c r="H84" s="269"/>
      <c r="I84" s="379"/>
      <c r="J84" s="379"/>
      <c r="K84" s="379"/>
      <c r="L84" s="379"/>
      <c r="M84" s="379"/>
      <c r="N84" s="379"/>
      <c r="O84" s="379"/>
      <c r="P84" s="379"/>
      <c r="Q84" s="379"/>
      <c r="R84" s="379"/>
      <c r="S84" s="379"/>
      <c r="T84" s="379"/>
      <c r="U84" s="101"/>
      <c r="V84" s="101"/>
      <c r="W84" s="101"/>
      <c r="X84" s="101"/>
      <c r="Y84" s="101"/>
    </row>
    <row r="85" spans="1:25" x14ac:dyDescent="0.2">
      <c r="A85" s="219"/>
      <c r="B85" s="36"/>
      <c r="C85" s="9" t="s">
        <v>175</v>
      </c>
      <c r="D85" s="9"/>
      <c r="E85" s="61"/>
      <c r="F85" s="154"/>
      <c r="G85" s="293"/>
      <c r="H85" s="259"/>
      <c r="I85" s="379"/>
      <c r="J85" s="379"/>
      <c r="K85" s="379"/>
      <c r="L85" s="379"/>
      <c r="M85" s="379"/>
      <c r="N85" s="379"/>
      <c r="O85" s="379"/>
      <c r="P85" s="379"/>
      <c r="Q85" s="379"/>
      <c r="R85" s="379"/>
      <c r="S85" s="379"/>
      <c r="T85" s="379"/>
      <c r="U85" s="101"/>
      <c r="V85" s="101"/>
      <c r="W85" s="101"/>
      <c r="X85" s="101"/>
      <c r="Y85" s="101"/>
    </row>
    <row r="86" spans="1:25" x14ac:dyDescent="0.2">
      <c r="A86" s="219">
        <v>46</v>
      </c>
      <c r="B86" s="36"/>
      <c r="C86" s="9"/>
      <c r="D86" s="9" t="s">
        <v>176</v>
      </c>
      <c r="E86" s="18" t="s">
        <v>177</v>
      </c>
      <c r="F86" s="155" t="s">
        <v>165</v>
      </c>
      <c r="G86" s="294"/>
      <c r="H86" s="269"/>
      <c r="I86" s="379"/>
      <c r="J86" s="379"/>
      <c r="K86" s="379"/>
      <c r="L86" s="379"/>
      <c r="M86" s="379"/>
      <c r="N86" s="379"/>
      <c r="O86" s="379"/>
      <c r="P86" s="379"/>
      <c r="Q86" s="379"/>
      <c r="R86" s="379"/>
      <c r="S86" s="379"/>
      <c r="T86" s="379"/>
      <c r="U86" s="101"/>
      <c r="V86" s="101"/>
      <c r="W86" s="101"/>
      <c r="X86" s="101"/>
      <c r="Y86" s="101"/>
    </row>
    <row r="87" spans="1:25" x14ac:dyDescent="0.2">
      <c r="A87" s="219">
        <v>47</v>
      </c>
      <c r="B87" s="36"/>
      <c r="C87" s="9"/>
      <c r="D87" s="9" t="s">
        <v>178</v>
      </c>
      <c r="E87" s="18" t="s">
        <v>179</v>
      </c>
      <c r="F87" s="155" t="s">
        <v>165</v>
      </c>
      <c r="G87" s="375">
        <f>+'Rev &amp; Exp Assumptions'!D24</f>
        <v>74069.49038461539</v>
      </c>
      <c r="H87" s="270" t="s">
        <v>125</v>
      </c>
      <c r="I87" s="379"/>
      <c r="J87" s="379"/>
      <c r="K87" s="379"/>
      <c r="L87" s="379"/>
      <c r="M87" s="379"/>
      <c r="N87" s="379"/>
      <c r="O87" s="379"/>
      <c r="P87" s="379"/>
      <c r="Q87" s="379"/>
      <c r="R87" s="379"/>
      <c r="S87" s="379"/>
      <c r="T87" s="379"/>
      <c r="U87" s="101"/>
      <c r="V87" s="101"/>
      <c r="W87" s="101"/>
      <c r="X87" s="101"/>
      <c r="Y87" s="101"/>
    </row>
    <row r="88" spans="1:25" x14ac:dyDescent="0.2">
      <c r="A88" s="219">
        <v>48</v>
      </c>
      <c r="B88" s="36"/>
      <c r="C88" s="9" t="s">
        <v>180</v>
      </c>
      <c r="D88" s="9"/>
      <c r="E88" s="18" t="s">
        <v>181</v>
      </c>
      <c r="F88" s="155" t="s">
        <v>165</v>
      </c>
      <c r="G88" s="294"/>
      <c r="H88" s="260"/>
      <c r="I88" s="379"/>
      <c r="J88" s="379"/>
      <c r="K88" s="379"/>
      <c r="L88" s="379"/>
      <c r="M88" s="379"/>
      <c r="N88" s="379"/>
      <c r="O88" s="379"/>
      <c r="P88" s="379"/>
      <c r="Q88" s="379"/>
      <c r="R88" s="379"/>
      <c r="S88" s="379"/>
      <c r="T88" s="379"/>
      <c r="U88" s="101"/>
      <c r="V88" s="101"/>
      <c r="W88" s="101"/>
      <c r="X88" s="101"/>
      <c r="Y88" s="101"/>
    </row>
    <row r="89" spans="1:25" x14ac:dyDescent="0.2">
      <c r="A89" s="219">
        <v>49</v>
      </c>
      <c r="B89" s="36"/>
      <c r="C89" s="9" t="s">
        <v>182</v>
      </c>
      <c r="D89" s="9"/>
      <c r="E89" s="18" t="s">
        <v>183</v>
      </c>
      <c r="F89" s="155" t="s">
        <v>165</v>
      </c>
      <c r="G89" s="294"/>
      <c r="H89" s="260"/>
      <c r="I89" s="379"/>
      <c r="J89" s="379"/>
      <c r="K89" s="379"/>
      <c r="L89" s="379"/>
      <c r="M89" s="379"/>
      <c r="N89" s="379"/>
      <c r="O89" s="379"/>
      <c r="P89" s="379"/>
      <c r="Q89" s="379"/>
      <c r="R89" s="379"/>
      <c r="S89" s="379"/>
      <c r="T89" s="379"/>
      <c r="U89" s="101"/>
      <c r="V89" s="101"/>
      <c r="W89" s="101"/>
      <c r="X89" s="101"/>
      <c r="Y89" s="101"/>
    </row>
    <row r="90" spans="1:25" x14ac:dyDescent="0.2">
      <c r="A90" s="219">
        <v>50</v>
      </c>
      <c r="B90" s="36"/>
      <c r="C90" s="9" t="s">
        <v>184</v>
      </c>
      <c r="D90" s="9"/>
      <c r="E90" s="18" t="s">
        <v>185</v>
      </c>
      <c r="F90" s="155" t="s">
        <v>165</v>
      </c>
      <c r="G90" s="294">
        <v>107083.08000000002</v>
      </c>
      <c r="H90" s="269" t="s">
        <v>162</v>
      </c>
      <c r="I90" s="379"/>
      <c r="J90" s="379"/>
      <c r="K90" s="379"/>
      <c r="L90" s="379"/>
      <c r="M90" s="379"/>
      <c r="N90" s="379"/>
      <c r="O90" s="379"/>
      <c r="P90" s="379"/>
      <c r="Q90" s="379"/>
      <c r="R90" s="379"/>
      <c r="S90" s="379"/>
      <c r="T90" s="379"/>
      <c r="U90" s="101"/>
      <c r="V90" s="101"/>
      <c r="W90" s="101"/>
      <c r="X90" s="101"/>
      <c r="Y90" s="101"/>
    </row>
    <row r="91" spans="1:25" x14ac:dyDescent="0.2">
      <c r="A91" s="219">
        <v>51</v>
      </c>
      <c r="B91" s="36"/>
      <c r="C91" s="9" t="s">
        <v>186</v>
      </c>
      <c r="D91" s="9"/>
      <c r="E91" s="18" t="s">
        <v>187</v>
      </c>
      <c r="F91" s="155" t="s">
        <v>165</v>
      </c>
      <c r="G91" s="294">
        <v>83390</v>
      </c>
      <c r="H91" s="260" t="s">
        <v>162</v>
      </c>
      <c r="I91" s="379"/>
      <c r="J91" s="379"/>
      <c r="K91" s="379"/>
      <c r="L91" s="379"/>
      <c r="M91" s="379"/>
      <c r="N91" s="379"/>
      <c r="O91" s="379"/>
      <c r="P91" s="379"/>
      <c r="Q91" s="379"/>
      <c r="R91" s="379"/>
      <c r="S91" s="379"/>
      <c r="T91" s="379"/>
      <c r="U91" s="101"/>
      <c r="V91" s="101"/>
      <c r="W91" s="101"/>
      <c r="X91" s="101"/>
      <c r="Y91" s="101"/>
    </row>
    <row r="92" spans="1:25" x14ac:dyDescent="0.2">
      <c r="A92" s="219">
        <v>52</v>
      </c>
      <c r="B92" s="36"/>
      <c r="C92" s="9" t="s">
        <v>188</v>
      </c>
      <c r="D92" s="9"/>
      <c r="E92" s="18" t="s">
        <v>189</v>
      </c>
      <c r="F92" s="155" t="s">
        <v>165</v>
      </c>
      <c r="G92" s="294">
        <v>19502.5</v>
      </c>
      <c r="H92" s="269" t="s">
        <v>162</v>
      </c>
      <c r="I92" s="379"/>
      <c r="J92" s="379"/>
      <c r="K92" s="379"/>
      <c r="L92" s="379"/>
      <c r="M92" s="379"/>
      <c r="N92" s="379"/>
      <c r="O92" s="379"/>
      <c r="P92" s="379"/>
      <c r="Q92" s="379"/>
      <c r="R92" s="379"/>
      <c r="S92" s="379"/>
      <c r="T92" s="379"/>
      <c r="U92" s="101"/>
      <c r="V92" s="101"/>
      <c r="W92" s="101"/>
      <c r="X92" s="101"/>
      <c r="Y92" s="101"/>
    </row>
    <row r="93" spans="1:25" x14ac:dyDescent="0.2">
      <c r="A93" s="219">
        <v>53</v>
      </c>
      <c r="B93" s="36"/>
      <c r="C93" s="9" t="s">
        <v>190</v>
      </c>
      <c r="D93" s="9"/>
      <c r="E93" s="18" t="s">
        <v>191</v>
      </c>
      <c r="F93" s="155">
        <v>1100</v>
      </c>
      <c r="G93" s="294">
        <v>67250</v>
      </c>
      <c r="H93" s="269" t="s">
        <v>162</v>
      </c>
      <c r="I93" s="379"/>
      <c r="J93" s="379"/>
      <c r="K93" s="379"/>
      <c r="L93" s="379"/>
      <c r="M93" s="379"/>
      <c r="N93" s="379"/>
      <c r="O93" s="379"/>
      <c r="P93" s="379"/>
      <c r="Q93" s="379"/>
      <c r="R93" s="379"/>
      <c r="S93" s="379"/>
      <c r="T93" s="379"/>
      <c r="U93" s="101"/>
      <c r="V93" s="101"/>
      <c r="W93" s="101"/>
      <c r="X93" s="101"/>
      <c r="Y93" s="101"/>
    </row>
    <row r="94" spans="1:25" x14ac:dyDescent="0.2">
      <c r="A94" s="219">
        <v>54</v>
      </c>
      <c r="B94" s="36"/>
      <c r="C94" s="9" t="s">
        <v>192</v>
      </c>
      <c r="D94" s="9"/>
      <c r="E94" s="18" t="s">
        <v>193</v>
      </c>
      <c r="F94" s="155" t="s">
        <v>165</v>
      </c>
      <c r="G94" s="294"/>
      <c r="H94" s="269"/>
      <c r="I94" s="379"/>
      <c r="J94" s="379"/>
      <c r="K94" s="379"/>
      <c r="L94" s="379"/>
      <c r="M94" s="379"/>
      <c r="N94" s="379"/>
      <c r="O94" s="379"/>
      <c r="P94" s="379"/>
      <c r="Q94" s="379"/>
      <c r="R94" s="379"/>
      <c r="S94" s="379"/>
      <c r="T94" s="379"/>
      <c r="U94" s="101"/>
      <c r="V94" s="101"/>
      <c r="W94" s="101"/>
      <c r="X94" s="101"/>
      <c r="Y94" s="101"/>
    </row>
    <row r="95" spans="1:25" x14ac:dyDescent="0.2">
      <c r="A95" s="219">
        <v>55</v>
      </c>
      <c r="B95" s="36"/>
      <c r="C95" s="9" t="s">
        <v>194</v>
      </c>
      <c r="D95" s="9"/>
      <c r="E95" s="18" t="s">
        <v>195</v>
      </c>
      <c r="F95" s="155" t="s">
        <v>165</v>
      </c>
      <c r="G95" s="294"/>
      <c r="H95" s="269"/>
      <c r="I95" s="379"/>
      <c r="J95" s="379"/>
      <c r="K95" s="379"/>
      <c r="L95" s="379"/>
      <c r="M95" s="379"/>
      <c r="N95" s="379"/>
      <c r="O95" s="379"/>
      <c r="P95" s="379"/>
      <c r="Q95" s="379"/>
      <c r="R95" s="379"/>
      <c r="S95" s="379"/>
      <c r="T95" s="379"/>
      <c r="U95" s="101"/>
      <c r="V95" s="101"/>
      <c r="W95" s="101"/>
      <c r="X95" s="101"/>
      <c r="Y95" s="101"/>
    </row>
    <row r="96" spans="1:25" x14ac:dyDescent="0.2">
      <c r="A96" s="219">
        <v>56</v>
      </c>
      <c r="B96" s="36"/>
      <c r="C96" s="85" t="s">
        <v>196</v>
      </c>
      <c r="D96" s="9"/>
      <c r="E96" s="18"/>
      <c r="F96" s="155"/>
      <c r="G96" s="294"/>
      <c r="H96" s="260"/>
      <c r="I96" s="379"/>
      <c r="J96" s="379"/>
      <c r="K96" s="379"/>
      <c r="L96" s="379"/>
      <c r="M96" s="379"/>
      <c r="N96" s="379"/>
      <c r="O96" s="379"/>
      <c r="P96" s="379"/>
      <c r="Q96" s="379"/>
      <c r="R96" s="379"/>
      <c r="S96" s="379"/>
      <c r="T96" s="379"/>
      <c r="U96" s="101"/>
      <c r="V96" s="101"/>
      <c r="W96" s="101"/>
      <c r="X96" s="101"/>
      <c r="Y96" s="101"/>
    </row>
    <row r="97" spans="1:25" x14ac:dyDescent="0.2">
      <c r="A97" s="219">
        <v>57</v>
      </c>
      <c r="B97" s="36"/>
      <c r="C97" s="9" t="s">
        <v>197</v>
      </c>
      <c r="D97" s="9"/>
      <c r="E97" s="18"/>
      <c r="F97" s="155"/>
      <c r="G97" s="294">
        <f>+'Rev &amp; Exp Assumptions'!D26</f>
        <v>49054.734718406595</v>
      </c>
      <c r="H97" s="260"/>
      <c r="I97" s="379"/>
      <c r="J97" s="379"/>
      <c r="K97" s="379"/>
      <c r="L97" s="379"/>
      <c r="M97" s="379"/>
      <c r="N97" s="379"/>
      <c r="O97" s="379"/>
      <c r="P97" s="379"/>
      <c r="Q97" s="379"/>
      <c r="R97" s="379"/>
      <c r="S97" s="379"/>
      <c r="T97" s="379"/>
      <c r="U97" s="101"/>
      <c r="V97" s="101"/>
      <c r="W97" s="101"/>
      <c r="X97" s="101"/>
      <c r="Y97" s="101"/>
    </row>
    <row r="98" spans="1:25" x14ac:dyDescent="0.2">
      <c r="A98" s="219">
        <v>58</v>
      </c>
      <c r="B98" s="36"/>
      <c r="C98" s="85"/>
      <c r="D98" s="9"/>
      <c r="E98" s="18"/>
      <c r="F98" s="155"/>
      <c r="G98" s="294"/>
      <c r="H98" s="260"/>
      <c r="I98" s="379"/>
      <c r="J98" s="379"/>
      <c r="K98" s="379"/>
      <c r="L98" s="379"/>
      <c r="M98" s="379"/>
      <c r="N98" s="379"/>
      <c r="O98" s="379"/>
      <c r="P98" s="379"/>
      <c r="Q98" s="379"/>
      <c r="R98" s="379"/>
      <c r="S98" s="379"/>
      <c r="T98" s="379"/>
      <c r="U98" s="101"/>
      <c r="V98" s="101"/>
      <c r="W98" s="101"/>
      <c r="X98" s="101"/>
      <c r="Y98" s="101"/>
    </row>
    <row r="99" spans="1:25" x14ac:dyDescent="0.2">
      <c r="A99" s="219">
        <v>59</v>
      </c>
      <c r="D99" s="13"/>
      <c r="E99" s="14"/>
      <c r="F99" s="163"/>
      <c r="G99" s="306"/>
      <c r="H99" s="275"/>
      <c r="I99" s="379"/>
      <c r="J99" s="379"/>
      <c r="K99" s="379"/>
      <c r="L99" s="379"/>
      <c r="M99" s="379"/>
      <c r="N99" s="379"/>
      <c r="O99" s="379"/>
      <c r="P99" s="379"/>
      <c r="Q99" s="379"/>
      <c r="R99" s="379"/>
      <c r="S99" s="379"/>
      <c r="T99" s="379"/>
      <c r="U99" s="101"/>
      <c r="V99" s="101"/>
      <c r="W99" s="101"/>
      <c r="X99" s="101"/>
      <c r="Y99" s="101"/>
    </row>
    <row r="100" spans="1:25" ht="15" x14ac:dyDescent="0.25">
      <c r="A100" s="220">
        <v>60</v>
      </c>
      <c r="B100" s="87" t="s">
        <v>198</v>
      </c>
      <c r="C100" s="51"/>
      <c r="D100" s="51"/>
      <c r="E100" s="49"/>
      <c r="F100" s="159"/>
      <c r="G100" s="297">
        <f>SUM(G78:G99)</f>
        <v>1765076.3172939562</v>
      </c>
      <c r="H100" s="263"/>
      <c r="I100" s="379"/>
      <c r="J100" s="379"/>
      <c r="K100" s="379"/>
      <c r="L100" s="379"/>
      <c r="M100" s="379"/>
      <c r="N100" s="379"/>
      <c r="O100" s="379"/>
      <c r="P100" s="379"/>
      <c r="Q100" s="379"/>
      <c r="R100" s="379"/>
      <c r="S100" s="379"/>
      <c r="T100" s="379"/>
      <c r="U100" s="101"/>
      <c r="V100" s="101"/>
      <c r="W100" s="101"/>
      <c r="X100" s="101"/>
      <c r="Y100" s="101"/>
    </row>
    <row r="101" spans="1:25" x14ac:dyDescent="0.2">
      <c r="A101" s="219"/>
      <c r="D101" s="13"/>
      <c r="E101" s="14"/>
      <c r="F101" s="163"/>
      <c r="G101" s="306"/>
      <c r="H101" s="275"/>
      <c r="I101" s="379"/>
      <c r="J101" s="379"/>
      <c r="K101" s="379"/>
      <c r="L101" s="379"/>
      <c r="M101" s="379"/>
      <c r="N101" s="379"/>
      <c r="O101" s="379"/>
      <c r="P101" s="379"/>
      <c r="Q101" s="379"/>
      <c r="R101" s="379"/>
      <c r="S101" s="379"/>
      <c r="T101" s="379"/>
      <c r="U101" s="101"/>
      <c r="V101" s="101"/>
      <c r="W101" s="101"/>
      <c r="X101" s="101"/>
      <c r="Y101" s="101"/>
    </row>
    <row r="102" spans="1:25" s="4" customFormat="1" ht="15" x14ac:dyDescent="0.25">
      <c r="A102" s="221"/>
      <c r="B102" s="90" t="s">
        <v>199</v>
      </c>
      <c r="C102" s="55"/>
      <c r="D102" s="59"/>
      <c r="E102" s="63"/>
      <c r="F102" s="164"/>
      <c r="G102" s="307"/>
      <c r="H102" s="276"/>
      <c r="I102" s="236"/>
      <c r="J102" s="236"/>
      <c r="K102" s="236"/>
      <c r="L102" s="236"/>
      <c r="M102" s="236"/>
      <c r="N102" s="236"/>
      <c r="O102" s="236"/>
      <c r="P102" s="236"/>
      <c r="Q102" s="236"/>
      <c r="R102" s="236"/>
      <c r="S102" s="236"/>
      <c r="T102" s="236"/>
      <c r="U102" s="233"/>
      <c r="V102" s="233"/>
      <c r="W102" s="233"/>
      <c r="X102" s="233"/>
      <c r="Y102" s="233"/>
    </row>
    <row r="103" spans="1:25" s="4" customFormat="1" ht="15" x14ac:dyDescent="0.25">
      <c r="A103" s="222"/>
      <c r="B103" s="89" t="s">
        <v>200</v>
      </c>
      <c r="C103" s="56"/>
      <c r="D103" s="60"/>
      <c r="E103" s="65"/>
      <c r="F103" s="165"/>
      <c r="G103" s="308"/>
      <c r="H103" s="277"/>
      <c r="I103" s="236"/>
      <c r="J103" s="236"/>
      <c r="K103" s="236"/>
      <c r="L103" s="236"/>
      <c r="M103" s="236"/>
      <c r="N103" s="236"/>
      <c r="O103" s="236"/>
      <c r="P103" s="236"/>
      <c r="Q103" s="236"/>
      <c r="R103" s="236"/>
      <c r="S103" s="236"/>
      <c r="T103" s="236"/>
      <c r="U103" s="233"/>
      <c r="V103" s="233"/>
      <c r="W103" s="233"/>
      <c r="X103" s="233"/>
      <c r="Y103" s="233"/>
    </row>
    <row r="104" spans="1:25" x14ac:dyDescent="0.2">
      <c r="A104" s="219"/>
      <c r="B104" s="9"/>
      <c r="C104" s="9" t="s">
        <v>160</v>
      </c>
      <c r="D104" s="13"/>
      <c r="E104" s="61"/>
      <c r="F104" s="154"/>
      <c r="G104" s="293"/>
      <c r="H104" s="259"/>
      <c r="I104" s="379"/>
      <c r="J104" s="379"/>
      <c r="K104" s="379"/>
      <c r="L104" s="379"/>
      <c r="M104" s="379"/>
      <c r="N104" s="379"/>
      <c r="O104" s="379"/>
      <c r="P104" s="379"/>
      <c r="Q104" s="379"/>
      <c r="R104" s="379"/>
      <c r="S104" s="379"/>
      <c r="T104" s="379"/>
      <c r="U104" s="101"/>
      <c r="V104" s="101"/>
      <c r="W104" s="101"/>
      <c r="X104" s="101"/>
      <c r="Y104" s="101"/>
    </row>
    <row r="105" spans="1:25" x14ac:dyDescent="0.2">
      <c r="A105" s="219">
        <v>61</v>
      </c>
      <c r="B105" s="36"/>
      <c r="C105" s="9"/>
      <c r="D105" s="9" t="s">
        <v>161</v>
      </c>
      <c r="E105" s="18" t="s">
        <v>201</v>
      </c>
      <c r="F105" s="155" t="s">
        <v>202</v>
      </c>
      <c r="G105" s="294">
        <v>185200</v>
      </c>
      <c r="H105" s="269" t="s">
        <v>162</v>
      </c>
      <c r="I105" s="379"/>
      <c r="J105" s="379"/>
      <c r="K105" s="379"/>
      <c r="L105" s="379"/>
      <c r="M105" s="379"/>
      <c r="N105" s="379"/>
      <c r="O105" s="379"/>
      <c r="P105" s="379"/>
      <c r="Q105" s="379"/>
      <c r="R105" s="379"/>
      <c r="S105" s="379"/>
      <c r="T105" s="379"/>
      <c r="U105" s="101"/>
      <c r="V105" s="101"/>
      <c r="W105" s="101"/>
      <c r="X105" s="101"/>
      <c r="Y105" s="101"/>
    </row>
    <row r="106" spans="1:25" x14ac:dyDescent="0.2">
      <c r="A106" s="219">
        <v>62</v>
      </c>
      <c r="B106" s="36"/>
      <c r="C106" s="9"/>
      <c r="D106" s="9" t="s">
        <v>203</v>
      </c>
      <c r="E106" s="18" t="s">
        <v>204</v>
      </c>
      <c r="F106" s="155" t="s">
        <v>202</v>
      </c>
      <c r="G106" s="294"/>
      <c r="H106" s="260"/>
      <c r="I106" s="379"/>
      <c r="J106" s="379"/>
      <c r="K106" s="379"/>
      <c r="L106" s="379"/>
      <c r="M106" s="379"/>
      <c r="N106" s="379"/>
      <c r="O106" s="379"/>
      <c r="P106" s="379"/>
      <c r="Q106" s="379"/>
      <c r="R106" s="379"/>
      <c r="S106" s="379"/>
      <c r="T106" s="379"/>
      <c r="U106" s="101"/>
      <c r="V106" s="101"/>
      <c r="W106" s="101"/>
      <c r="X106" s="101"/>
      <c r="Y106" s="101"/>
    </row>
    <row r="107" spans="1:25" x14ac:dyDescent="0.2">
      <c r="A107" s="219">
        <v>63</v>
      </c>
      <c r="B107" s="36"/>
      <c r="C107" s="9"/>
      <c r="D107" s="9" t="s">
        <v>163</v>
      </c>
      <c r="E107" s="18" t="s">
        <v>164</v>
      </c>
      <c r="F107" s="155" t="s">
        <v>202</v>
      </c>
      <c r="G107" s="294">
        <v>132000</v>
      </c>
      <c r="H107" s="269" t="s">
        <v>162</v>
      </c>
      <c r="I107" s="379"/>
      <c r="J107" s="379"/>
      <c r="K107" s="379"/>
      <c r="L107" s="379"/>
      <c r="M107" s="379"/>
      <c r="N107" s="379"/>
      <c r="O107" s="379"/>
      <c r="P107" s="379"/>
      <c r="Q107" s="379"/>
      <c r="R107" s="379"/>
      <c r="S107" s="379"/>
      <c r="T107" s="379"/>
      <c r="U107" s="101"/>
      <c r="V107" s="101"/>
      <c r="W107" s="101"/>
      <c r="X107" s="101"/>
      <c r="Y107" s="101"/>
    </row>
    <row r="108" spans="1:25" x14ac:dyDescent="0.2">
      <c r="A108" s="219">
        <v>64</v>
      </c>
      <c r="B108" s="36"/>
      <c r="C108" s="9"/>
      <c r="D108" s="9" t="s">
        <v>166</v>
      </c>
      <c r="E108" s="18" t="s">
        <v>167</v>
      </c>
      <c r="F108" s="155" t="s">
        <v>202</v>
      </c>
      <c r="G108" s="294"/>
      <c r="H108" s="260"/>
      <c r="I108" s="379"/>
      <c r="J108" s="379"/>
      <c r="K108" s="379"/>
      <c r="L108" s="379"/>
      <c r="M108" s="379"/>
      <c r="N108" s="379"/>
      <c r="O108" s="379"/>
      <c r="P108" s="379"/>
      <c r="Q108" s="379"/>
      <c r="R108" s="379"/>
      <c r="S108" s="379"/>
      <c r="T108" s="379"/>
      <c r="U108" s="101"/>
      <c r="V108" s="101"/>
      <c r="W108" s="101"/>
      <c r="X108" s="101"/>
      <c r="Y108" s="101"/>
    </row>
    <row r="109" spans="1:25" x14ac:dyDescent="0.2">
      <c r="A109" s="219">
        <v>65</v>
      </c>
      <c r="B109" s="36"/>
      <c r="C109" s="9" t="s">
        <v>168</v>
      </c>
      <c r="D109" s="9"/>
      <c r="E109" s="18" t="s">
        <v>169</v>
      </c>
      <c r="F109" s="155" t="s">
        <v>202</v>
      </c>
      <c r="G109" s="294">
        <v>61829</v>
      </c>
      <c r="H109" s="269" t="s">
        <v>205</v>
      </c>
      <c r="I109" s="379"/>
      <c r="J109" s="379"/>
      <c r="K109" s="379"/>
      <c r="L109" s="379"/>
      <c r="M109" s="379"/>
      <c r="N109" s="379"/>
      <c r="O109" s="379"/>
      <c r="P109" s="379"/>
      <c r="Q109" s="379"/>
      <c r="R109" s="379"/>
      <c r="S109" s="379"/>
      <c r="T109" s="379"/>
      <c r="U109" s="101"/>
      <c r="V109" s="101"/>
      <c r="W109" s="101"/>
      <c r="X109" s="101"/>
      <c r="Y109" s="101"/>
    </row>
    <row r="110" spans="1:25" x14ac:dyDescent="0.2">
      <c r="A110" s="219">
        <v>66</v>
      </c>
      <c r="B110" s="36"/>
      <c r="C110" s="9" t="s">
        <v>171</v>
      </c>
      <c r="D110" s="9"/>
      <c r="E110" s="18">
        <v>430</v>
      </c>
      <c r="F110" s="155">
        <v>1210</v>
      </c>
      <c r="G110" s="294"/>
      <c r="H110" s="260"/>
      <c r="I110" s="379"/>
      <c r="J110" s="379"/>
      <c r="K110" s="379"/>
      <c r="L110" s="379"/>
      <c r="M110" s="379"/>
      <c r="N110" s="379"/>
      <c r="O110" s="379"/>
      <c r="P110" s="379"/>
      <c r="Q110" s="379"/>
      <c r="R110" s="379"/>
      <c r="S110" s="379"/>
      <c r="T110" s="379"/>
      <c r="U110" s="101"/>
      <c r="V110" s="101"/>
      <c r="W110" s="101"/>
      <c r="X110" s="101"/>
      <c r="Y110" s="101"/>
    </row>
    <row r="111" spans="1:25" x14ac:dyDescent="0.2">
      <c r="A111" s="219">
        <v>67</v>
      </c>
      <c r="B111" s="36"/>
      <c r="C111" s="9" t="s">
        <v>173</v>
      </c>
      <c r="D111" s="9"/>
      <c r="E111" s="18" t="s">
        <v>174</v>
      </c>
      <c r="F111" s="155" t="s">
        <v>202</v>
      </c>
      <c r="G111" s="294"/>
      <c r="H111" s="260"/>
      <c r="I111" s="379"/>
      <c r="J111" s="379"/>
      <c r="K111" s="379"/>
      <c r="L111" s="379"/>
      <c r="M111" s="379"/>
      <c r="N111" s="379"/>
      <c r="O111" s="379"/>
      <c r="P111" s="379"/>
      <c r="Q111" s="379"/>
      <c r="R111" s="379"/>
      <c r="S111" s="379"/>
      <c r="T111" s="379"/>
      <c r="U111" s="101"/>
      <c r="V111" s="101"/>
      <c r="W111" s="101"/>
      <c r="X111" s="101"/>
      <c r="Y111" s="101"/>
    </row>
    <row r="112" spans="1:25" x14ac:dyDescent="0.2">
      <c r="A112" s="219"/>
      <c r="B112" s="36"/>
      <c r="C112" s="9" t="s">
        <v>206</v>
      </c>
      <c r="D112" s="9"/>
      <c r="E112" s="61"/>
      <c r="F112" s="154"/>
      <c r="G112" s="293"/>
      <c r="H112" s="259"/>
      <c r="I112" s="379"/>
      <c r="J112" s="379"/>
      <c r="K112" s="379"/>
      <c r="L112" s="379"/>
      <c r="M112" s="379"/>
      <c r="N112" s="379"/>
      <c r="O112" s="379"/>
      <c r="P112" s="379"/>
      <c r="Q112" s="379"/>
      <c r="R112" s="379"/>
      <c r="S112" s="379"/>
      <c r="T112" s="379"/>
      <c r="U112" s="101"/>
      <c r="V112" s="101"/>
      <c r="W112" s="101"/>
      <c r="X112" s="101"/>
      <c r="Y112" s="101"/>
    </row>
    <row r="113" spans="1:25" x14ac:dyDescent="0.2">
      <c r="A113" s="219">
        <v>68</v>
      </c>
      <c r="B113" s="36"/>
      <c r="C113" s="9"/>
      <c r="D113" s="9" t="s">
        <v>207</v>
      </c>
      <c r="E113" s="18" t="s">
        <v>177</v>
      </c>
      <c r="F113" s="155" t="s">
        <v>202</v>
      </c>
      <c r="G113" s="294"/>
      <c r="H113" s="269"/>
      <c r="I113" s="379"/>
      <c r="J113" s="379"/>
      <c r="K113" s="379"/>
      <c r="L113" s="379"/>
      <c r="M113" s="379"/>
      <c r="N113" s="379"/>
      <c r="O113" s="379"/>
      <c r="P113" s="379"/>
      <c r="Q113" s="379"/>
      <c r="R113" s="379"/>
      <c r="S113" s="379"/>
      <c r="T113" s="379"/>
      <c r="U113" s="101"/>
      <c r="V113" s="101"/>
      <c r="W113" s="101"/>
      <c r="X113" s="101"/>
      <c r="Y113" s="101"/>
    </row>
    <row r="114" spans="1:25" x14ac:dyDescent="0.2">
      <c r="A114" s="219">
        <v>69</v>
      </c>
      <c r="B114" s="36"/>
      <c r="C114" s="9"/>
      <c r="D114" s="9" t="s">
        <v>178</v>
      </c>
      <c r="E114" s="18" t="s">
        <v>179</v>
      </c>
      <c r="F114" s="155" t="s">
        <v>202</v>
      </c>
      <c r="G114" s="294"/>
      <c r="H114" s="269"/>
      <c r="I114" s="379"/>
      <c r="J114" s="379"/>
      <c r="K114" s="379"/>
      <c r="L114" s="379"/>
      <c r="M114" s="379"/>
      <c r="N114" s="379"/>
      <c r="O114" s="379"/>
      <c r="P114" s="379"/>
      <c r="Q114" s="379"/>
      <c r="R114" s="379"/>
      <c r="S114" s="379"/>
      <c r="T114" s="379"/>
      <c r="U114" s="101"/>
      <c r="V114" s="101"/>
      <c r="W114" s="101"/>
      <c r="X114" s="101"/>
      <c r="Y114" s="101"/>
    </row>
    <row r="115" spans="1:25" x14ac:dyDescent="0.2">
      <c r="A115" s="219">
        <v>70</v>
      </c>
      <c r="B115" s="36"/>
      <c r="C115" s="9" t="s">
        <v>180</v>
      </c>
      <c r="D115" s="9"/>
      <c r="E115" s="18" t="s">
        <v>181</v>
      </c>
      <c r="F115" s="155" t="s">
        <v>202</v>
      </c>
      <c r="G115" s="294"/>
      <c r="H115" s="260"/>
      <c r="I115" s="379"/>
      <c r="J115" s="379"/>
      <c r="K115" s="379"/>
      <c r="L115" s="379"/>
      <c r="M115" s="379"/>
      <c r="N115" s="379"/>
      <c r="O115" s="379"/>
      <c r="P115" s="379"/>
      <c r="Q115" s="379"/>
      <c r="R115" s="379"/>
      <c r="S115" s="379"/>
      <c r="T115" s="379"/>
      <c r="U115" s="101"/>
      <c r="V115" s="101"/>
      <c r="W115" s="101"/>
      <c r="X115" s="101"/>
      <c r="Y115" s="101"/>
    </row>
    <row r="116" spans="1:25" x14ac:dyDescent="0.2">
      <c r="A116" s="219">
        <v>71</v>
      </c>
      <c r="B116" s="36"/>
      <c r="C116" s="9" t="s">
        <v>182</v>
      </c>
      <c r="D116" s="9"/>
      <c r="E116" s="18" t="s">
        <v>183</v>
      </c>
      <c r="F116" s="155" t="s">
        <v>202</v>
      </c>
      <c r="G116" s="294"/>
      <c r="H116" s="260"/>
      <c r="I116" s="379"/>
      <c r="J116" s="379"/>
      <c r="K116" s="379"/>
      <c r="L116" s="379"/>
      <c r="M116" s="379"/>
      <c r="N116" s="379"/>
      <c r="O116" s="379"/>
      <c r="P116" s="379"/>
      <c r="Q116" s="379"/>
      <c r="R116" s="379"/>
      <c r="S116" s="379"/>
      <c r="T116" s="379"/>
      <c r="U116" s="101"/>
      <c r="V116" s="101"/>
      <c r="W116" s="101"/>
      <c r="X116" s="101"/>
      <c r="Y116" s="101"/>
    </row>
    <row r="117" spans="1:25" x14ac:dyDescent="0.2">
      <c r="A117" s="219">
        <v>72</v>
      </c>
      <c r="B117" s="36"/>
      <c r="C117" s="9" t="s">
        <v>184</v>
      </c>
      <c r="D117" s="9"/>
      <c r="E117" s="18" t="s">
        <v>185</v>
      </c>
      <c r="F117" s="155" t="s">
        <v>208</v>
      </c>
      <c r="G117" s="294">
        <v>29540.16</v>
      </c>
      <c r="H117" s="269" t="s">
        <v>162</v>
      </c>
      <c r="I117" s="379"/>
      <c r="J117" s="379"/>
      <c r="K117" s="379"/>
      <c r="L117" s="379"/>
      <c r="M117" s="379"/>
      <c r="N117" s="379"/>
      <c r="O117" s="379"/>
      <c r="P117" s="379"/>
      <c r="Q117" s="379"/>
      <c r="R117" s="379"/>
      <c r="S117" s="379"/>
      <c r="T117" s="379"/>
      <c r="U117" s="101"/>
      <c r="V117" s="101"/>
      <c r="W117" s="101"/>
      <c r="X117" s="101"/>
      <c r="Y117" s="101"/>
    </row>
    <row r="118" spans="1:25" x14ac:dyDescent="0.2">
      <c r="A118" s="219">
        <v>73</v>
      </c>
      <c r="B118" s="36"/>
      <c r="C118" s="9" t="s">
        <v>186</v>
      </c>
      <c r="D118" s="9"/>
      <c r="E118" s="18" t="s">
        <v>187</v>
      </c>
      <c r="F118" s="155" t="s">
        <v>208</v>
      </c>
      <c r="G118" s="294">
        <v>19666.400000000001</v>
      </c>
      <c r="H118" s="260" t="s">
        <v>162</v>
      </c>
      <c r="I118" s="379"/>
      <c r="J118" s="379"/>
      <c r="K118" s="379"/>
      <c r="L118" s="379"/>
      <c r="M118" s="379"/>
      <c r="N118" s="379"/>
      <c r="O118" s="379"/>
      <c r="P118" s="379"/>
      <c r="Q118" s="379"/>
      <c r="R118" s="379"/>
      <c r="S118" s="379"/>
      <c r="T118" s="379"/>
      <c r="U118" s="101"/>
      <c r="V118" s="101"/>
      <c r="W118" s="101"/>
      <c r="X118" s="101"/>
      <c r="Y118" s="101"/>
    </row>
    <row r="119" spans="1:25" x14ac:dyDescent="0.2">
      <c r="A119" s="219">
        <v>74</v>
      </c>
      <c r="B119" s="36"/>
      <c r="C119" s="9" t="s">
        <v>188</v>
      </c>
      <c r="D119" s="9"/>
      <c r="E119" s="18" t="s">
        <v>189</v>
      </c>
      <c r="F119" s="155" t="s">
        <v>208</v>
      </c>
      <c r="G119" s="294">
        <v>4599.3999999999996</v>
      </c>
      <c r="H119" s="269" t="s">
        <v>162</v>
      </c>
      <c r="I119" s="379"/>
      <c r="J119" s="379"/>
      <c r="K119" s="379"/>
      <c r="L119" s="379"/>
      <c r="M119" s="379"/>
      <c r="N119" s="379"/>
      <c r="O119" s="379"/>
      <c r="P119" s="379"/>
      <c r="Q119" s="379"/>
      <c r="R119" s="379"/>
      <c r="S119" s="379"/>
      <c r="T119" s="379"/>
      <c r="U119" s="101"/>
      <c r="V119" s="101"/>
      <c r="W119" s="101"/>
      <c r="X119" s="101"/>
      <c r="Y119" s="101"/>
    </row>
    <row r="120" spans="1:25" x14ac:dyDescent="0.2">
      <c r="A120" s="219">
        <v>75</v>
      </c>
      <c r="B120" s="36"/>
      <c r="C120" s="9" t="s">
        <v>190</v>
      </c>
      <c r="D120" s="9"/>
      <c r="E120" s="18" t="s">
        <v>191</v>
      </c>
      <c r="F120" s="155">
        <v>1200</v>
      </c>
      <c r="G120" s="294">
        <v>15860</v>
      </c>
      <c r="H120" s="269" t="s">
        <v>162</v>
      </c>
      <c r="I120" s="379"/>
      <c r="J120" s="379"/>
      <c r="K120" s="379"/>
      <c r="L120" s="379"/>
      <c r="M120" s="379"/>
      <c r="N120" s="379"/>
      <c r="O120" s="379"/>
      <c r="P120" s="379"/>
      <c r="Q120" s="379"/>
      <c r="R120" s="379"/>
      <c r="S120" s="379"/>
      <c r="T120" s="379"/>
      <c r="U120" s="101"/>
      <c r="V120" s="101"/>
      <c r="W120" s="101"/>
      <c r="X120" s="101"/>
      <c r="Y120" s="101"/>
    </row>
    <row r="121" spans="1:25" x14ac:dyDescent="0.2">
      <c r="A121" s="219">
        <v>76</v>
      </c>
      <c r="B121" s="36"/>
      <c r="C121" s="9" t="s">
        <v>192</v>
      </c>
      <c r="D121" s="9"/>
      <c r="E121" s="18" t="s">
        <v>193</v>
      </c>
      <c r="F121" s="155" t="s">
        <v>208</v>
      </c>
      <c r="G121" s="294"/>
      <c r="H121" s="269"/>
      <c r="I121" s="379"/>
      <c r="J121" s="379"/>
      <c r="K121" s="379"/>
      <c r="L121" s="379"/>
      <c r="M121" s="379"/>
      <c r="N121" s="379"/>
      <c r="O121" s="379"/>
      <c r="P121" s="379"/>
      <c r="Q121" s="379"/>
      <c r="R121" s="379"/>
      <c r="S121" s="379"/>
      <c r="T121" s="379"/>
      <c r="U121" s="101"/>
      <c r="V121" s="101"/>
      <c r="W121" s="101"/>
      <c r="X121" s="101"/>
      <c r="Y121" s="101"/>
    </row>
    <row r="122" spans="1:25" x14ac:dyDescent="0.2">
      <c r="A122" s="219">
        <v>77</v>
      </c>
      <c r="B122" s="36"/>
      <c r="C122" s="9" t="s">
        <v>194</v>
      </c>
      <c r="D122" s="9"/>
      <c r="E122" s="18" t="s">
        <v>195</v>
      </c>
      <c r="F122" s="155" t="s">
        <v>208</v>
      </c>
      <c r="G122" s="294"/>
      <c r="H122" s="269"/>
      <c r="I122" s="379"/>
      <c r="J122" s="379"/>
      <c r="K122" s="379"/>
      <c r="L122" s="379"/>
      <c r="M122" s="379"/>
      <c r="N122" s="379"/>
      <c r="O122" s="379"/>
      <c r="P122" s="379"/>
      <c r="Q122" s="379"/>
      <c r="R122" s="379"/>
      <c r="S122" s="379"/>
      <c r="T122" s="379"/>
      <c r="U122" s="101"/>
      <c r="V122" s="101"/>
      <c r="W122" s="101"/>
      <c r="X122" s="101"/>
      <c r="Y122" s="101"/>
    </row>
    <row r="123" spans="1:25" x14ac:dyDescent="0.2">
      <c r="A123" s="219">
        <v>78</v>
      </c>
      <c r="B123" s="36"/>
      <c r="C123" s="85" t="s">
        <v>196</v>
      </c>
      <c r="D123" s="9"/>
      <c r="E123" s="18"/>
      <c r="F123" s="155"/>
      <c r="G123" s="294"/>
      <c r="H123" s="260"/>
      <c r="I123" s="379"/>
      <c r="J123" s="379"/>
      <c r="K123" s="379"/>
      <c r="L123" s="379"/>
      <c r="M123" s="379"/>
      <c r="N123" s="379"/>
      <c r="O123" s="379"/>
      <c r="P123" s="379"/>
      <c r="Q123" s="379"/>
      <c r="R123" s="379"/>
      <c r="S123" s="379"/>
      <c r="T123" s="379"/>
      <c r="U123" s="101"/>
      <c r="V123" s="101"/>
      <c r="W123" s="101"/>
      <c r="X123" s="101"/>
      <c r="Y123" s="101"/>
    </row>
    <row r="124" spans="1:25" x14ac:dyDescent="0.2">
      <c r="A124" s="219">
        <v>79</v>
      </c>
      <c r="B124" s="36"/>
      <c r="C124" s="85"/>
      <c r="D124" s="9"/>
      <c r="E124" s="18"/>
      <c r="F124" s="155"/>
      <c r="G124" s="294"/>
      <c r="H124" s="260"/>
      <c r="I124" s="379"/>
      <c r="J124" s="379"/>
      <c r="K124" s="379"/>
      <c r="L124" s="379"/>
      <c r="M124" s="379"/>
      <c r="N124" s="379"/>
      <c r="O124" s="379"/>
      <c r="P124" s="379"/>
      <c r="Q124" s="379"/>
      <c r="R124" s="379"/>
      <c r="S124" s="379"/>
      <c r="T124" s="379"/>
      <c r="U124" s="101"/>
      <c r="V124" s="101"/>
      <c r="W124" s="101"/>
      <c r="X124" s="101"/>
      <c r="Y124" s="101"/>
    </row>
    <row r="125" spans="1:25" x14ac:dyDescent="0.2">
      <c r="A125" s="219">
        <v>80</v>
      </c>
      <c r="B125" s="36"/>
      <c r="C125" s="85"/>
      <c r="D125" s="9"/>
      <c r="E125" s="18"/>
      <c r="F125" s="155"/>
      <c r="G125" s="294"/>
      <c r="H125" s="260"/>
      <c r="I125" s="379"/>
      <c r="J125" s="379"/>
      <c r="K125" s="379"/>
      <c r="L125" s="379"/>
      <c r="M125" s="379"/>
      <c r="N125" s="379"/>
      <c r="O125" s="379"/>
      <c r="P125" s="379"/>
      <c r="Q125" s="379"/>
      <c r="R125" s="379"/>
      <c r="S125" s="379"/>
      <c r="T125" s="379"/>
      <c r="U125" s="101"/>
      <c r="V125" s="101"/>
      <c r="W125" s="101"/>
      <c r="X125" s="101"/>
      <c r="Y125" s="101"/>
    </row>
    <row r="126" spans="1:25" x14ac:dyDescent="0.2">
      <c r="A126" s="219">
        <v>81</v>
      </c>
      <c r="D126" s="13"/>
      <c r="E126" s="14"/>
      <c r="F126" s="163"/>
      <c r="G126" s="306"/>
      <c r="H126" s="275"/>
      <c r="I126" s="379"/>
      <c r="J126" s="379"/>
      <c r="K126" s="379"/>
      <c r="L126" s="379"/>
      <c r="M126" s="379"/>
      <c r="N126" s="379"/>
      <c r="O126" s="379"/>
      <c r="P126" s="379"/>
      <c r="Q126" s="379"/>
      <c r="R126" s="379"/>
      <c r="S126" s="379"/>
      <c r="T126" s="379"/>
      <c r="U126" s="101"/>
      <c r="V126" s="101"/>
      <c r="W126" s="101"/>
      <c r="X126" s="101"/>
      <c r="Y126" s="101"/>
    </row>
    <row r="127" spans="1:25" ht="15" x14ac:dyDescent="0.25">
      <c r="A127" s="220">
        <v>82</v>
      </c>
      <c r="B127" s="87" t="s">
        <v>209</v>
      </c>
      <c r="C127" s="51"/>
      <c r="D127" s="51"/>
      <c r="E127" s="49"/>
      <c r="F127" s="159"/>
      <c r="G127" s="297">
        <f>SUM(G104:G126)</f>
        <v>448694.96</v>
      </c>
      <c r="H127" s="263"/>
      <c r="I127" s="379"/>
      <c r="J127" s="379"/>
      <c r="K127" s="379"/>
      <c r="L127" s="379"/>
      <c r="M127" s="379"/>
      <c r="N127" s="379"/>
      <c r="O127" s="379"/>
      <c r="P127" s="379"/>
      <c r="Q127" s="379"/>
      <c r="R127" s="379"/>
      <c r="S127" s="379"/>
      <c r="T127" s="379"/>
      <c r="U127" s="101"/>
      <c r="V127" s="101"/>
      <c r="W127" s="101"/>
      <c r="X127" s="101"/>
      <c r="Y127" s="101"/>
    </row>
    <row r="128" spans="1:25" x14ac:dyDescent="0.2">
      <c r="A128" s="219"/>
      <c r="D128" s="13"/>
      <c r="E128" s="14"/>
      <c r="F128" s="163"/>
      <c r="G128" s="306"/>
      <c r="H128" s="275"/>
      <c r="I128" s="379"/>
      <c r="J128" s="379"/>
      <c r="K128" s="379"/>
      <c r="L128" s="379"/>
      <c r="M128" s="379"/>
      <c r="N128" s="379"/>
      <c r="O128" s="379"/>
      <c r="P128" s="379"/>
      <c r="Q128" s="379"/>
      <c r="R128" s="379"/>
      <c r="S128" s="379"/>
      <c r="T128" s="379"/>
      <c r="U128" s="101"/>
      <c r="V128" s="101"/>
      <c r="W128" s="101"/>
      <c r="X128" s="101"/>
      <c r="Y128" s="101"/>
    </row>
    <row r="129" spans="1:25" x14ac:dyDescent="0.2">
      <c r="A129" s="217"/>
      <c r="B129" s="111" t="s">
        <v>210</v>
      </c>
      <c r="C129" s="112"/>
      <c r="D129" s="113"/>
      <c r="E129" s="61"/>
      <c r="F129" s="154"/>
      <c r="G129" s="293"/>
      <c r="H129" s="259"/>
      <c r="I129" s="379"/>
      <c r="J129" s="379"/>
      <c r="K129" s="379"/>
      <c r="L129" s="379"/>
      <c r="M129" s="379"/>
      <c r="N129" s="379"/>
      <c r="O129" s="379"/>
      <c r="P129" s="379"/>
      <c r="Q129" s="379"/>
      <c r="R129" s="379"/>
      <c r="S129" s="379"/>
      <c r="T129" s="379"/>
      <c r="U129" s="101"/>
      <c r="V129" s="101"/>
      <c r="W129" s="101"/>
      <c r="X129" s="101"/>
      <c r="Y129" s="101"/>
    </row>
    <row r="130" spans="1:25" s="4" customFormat="1" ht="14.25" customHeight="1" x14ac:dyDescent="0.25">
      <c r="A130" s="222"/>
      <c r="B130" s="89" t="s">
        <v>211</v>
      </c>
      <c r="C130" s="110"/>
      <c r="D130" s="110"/>
      <c r="E130" s="77"/>
      <c r="F130" s="166"/>
      <c r="G130" s="309"/>
      <c r="H130" s="278"/>
      <c r="I130" s="236"/>
      <c r="J130" s="236"/>
      <c r="K130" s="236"/>
      <c r="L130" s="236"/>
      <c r="M130" s="236"/>
      <c r="N130" s="236"/>
      <c r="O130" s="236"/>
      <c r="P130" s="236"/>
      <c r="Q130" s="236"/>
      <c r="R130" s="236"/>
      <c r="S130" s="236"/>
      <c r="T130" s="236"/>
      <c r="U130" s="233"/>
      <c r="V130" s="233"/>
      <c r="W130" s="233"/>
      <c r="X130" s="233"/>
      <c r="Y130" s="233"/>
    </row>
    <row r="131" spans="1:25" s="4" customFormat="1" ht="13.5" customHeight="1" x14ac:dyDescent="0.25">
      <c r="A131" s="219"/>
      <c r="B131" s="79"/>
      <c r="C131" s="9" t="s">
        <v>160</v>
      </c>
      <c r="D131" s="20"/>
      <c r="E131" s="61"/>
      <c r="F131" s="154"/>
      <c r="G131" s="293"/>
      <c r="H131" s="259"/>
      <c r="I131" s="236"/>
      <c r="J131" s="236"/>
      <c r="K131" s="236"/>
      <c r="L131" s="236"/>
      <c r="M131" s="236"/>
      <c r="N131" s="236"/>
      <c r="O131" s="236"/>
      <c r="P131" s="236"/>
      <c r="Q131" s="236"/>
      <c r="R131" s="236"/>
      <c r="S131" s="236"/>
      <c r="T131" s="236"/>
      <c r="U131" s="233"/>
      <c r="V131" s="233"/>
      <c r="W131" s="233"/>
      <c r="X131" s="233"/>
      <c r="Y131" s="233"/>
    </row>
    <row r="132" spans="1:25" x14ac:dyDescent="0.2">
      <c r="A132" s="219">
        <v>83</v>
      </c>
      <c r="B132" s="36"/>
      <c r="C132" s="9"/>
      <c r="D132" s="9" t="s">
        <v>161</v>
      </c>
      <c r="E132" s="18">
        <v>112</v>
      </c>
      <c r="F132" s="155" t="s">
        <v>212</v>
      </c>
      <c r="G132" s="294"/>
      <c r="H132" s="269"/>
      <c r="I132" s="379"/>
      <c r="J132" s="379"/>
      <c r="K132" s="379"/>
      <c r="L132" s="379"/>
      <c r="M132" s="379"/>
      <c r="N132" s="379"/>
      <c r="O132" s="379"/>
      <c r="P132" s="379"/>
      <c r="Q132" s="379"/>
      <c r="R132" s="379"/>
      <c r="S132" s="379"/>
      <c r="T132" s="379"/>
      <c r="U132" s="101"/>
      <c r="V132" s="101"/>
      <c r="W132" s="101"/>
      <c r="X132" s="101"/>
      <c r="Y132" s="101"/>
    </row>
    <row r="133" spans="1:25" x14ac:dyDescent="0.2">
      <c r="A133" s="219">
        <v>84</v>
      </c>
      <c r="B133" s="36"/>
      <c r="C133" s="9"/>
      <c r="D133" s="9" t="s">
        <v>163</v>
      </c>
      <c r="E133" s="18">
        <v>115</v>
      </c>
      <c r="F133" s="155" t="s">
        <v>212</v>
      </c>
      <c r="G133" s="294"/>
      <c r="H133" s="269"/>
      <c r="I133" s="379"/>
      <c r="J133" s="379"/>
      <c r="K133" s="379"/>
      <c r="L133" s="379"/>
      <c r="M133" s="379"/>
      <c r="N133" s="379"/>
      <c r="O133" s="379"/>
      <c r="P133" s="379"/>
      <c r="Q133" s="379"/>
      <c r="R133" s="379"/>
      <c r="S133" s="379"/>
      <c r="T133" s="379"/>
      <c r="U133" s="101"/>
      <c r="V133" s="101"/>
      <c r="W133" s="101"/>
      <c r="X133" s="101"/>
      <c r="Y133" s="101"/>
    </row>
    <row r="134" spans="1:25" x14ac:dyDescent="0.2">
      <c r="A134" s="219">
        <v>85</v>
      </c>
      <c r="B134" s="36"/>
      <c r="C134" s="9"/>
      <c r="D134" s="9" t="s">
        <v>166</v>
      </c>
      <c r="E134" s="18">
        <v>123</v>
      </c>
      <c r="F134" s="155" t="s">
        <v>212</v>
      </c>
      <c r="G134" s="294"/>
      <c r="H134" s="260"/>
      <c r="I134" s="379"/>
      <c r="J134" s="379"/>
      <c r="K134" s="379"/>
      <c r="L134" s="379"/>
      <c r="M134" s="379"/>
      <c r="N134" s="379"/>
      <c r="O134" s="379"/>
      <c r="P134" s="379"/>
      <c r="Q134" s="379"/>
      <c r="R134" s="379"/>
      <c r="S134" s="379"/>
      <c r="T134" s="379"/>
      <c r="U134" s="101"/>
      <c r="V134" s="101"/>
      <c r="W134" s="101"/>
      <c r="X134" s="101"/>
      <c r="Y134" s="101"/>
    </row>
    <row r="135" spans="1:25" x14ac:dyDescent="0.2">
      <c r="A135" s="219">
        <v>86</v>
      </c>
      <c r="B135" s="36"/>
      <c r="C135" s="9" t="s">
        <v>168</v>
      </c>
      <c r="D135" s="9"/>
      <c r="E135" s="18" t="s">
        <v>169</v>
      </c>
      <c r="F135" s="155" t="s">
        <v>212</v>
      </c>
      <c r="G135" s="294"/>
      <c r="H135" s="260"/>
      <c r="I135" s="379"/>
      <c r="J135" s="379"/>
      <c r="K135" s="379"/>
      <c r="L135" s="379"/>
      <c r="M135" s="379"/>
      <c r="N135" s="379"/>
      <c r="O135" s="379"/>
      <c r="P135" s="379"/>
      <c r="Q135" s="379"/>
      <c r="R135" s="379"/>
      <c r="S135" s="379"/>
      <c r="T135" s="379"/>
      <c r="U135" s="101"/>
      <c r="V135" s="101"/>
      <c r="W135" s="101"/>
      <c r="X135" s="101"/>
      <c r="Y135" s="101"/>
    </row>
    <row r="136" spans="1:25" x14ac:dyDescent="0.2">
      <c r="A136" s="219">
        <v>87</v>
      </c>
      <c r="B136" s="36"/>
      <c r="C136" s="9" t="s">
        <v>171</v>
      </c>
      <c r="D136" s="9"/>
      <c r="E136" s="18">
        <v>430</v>
      </c>
      <c r="F136" s="155" t="s">
        <v>212</v>
      </c>
      <c r="G136" s="294"/>
      <c r="H136" s="260"/>
      <c r="I136" s="379"/>
      <c r="J136" s="379"/>
      <c r="K136" s="379"/>
      <c r="L136" s="379"/>
      <c r="M136" s="379"/>
      <c r="N136" s="379"/>
      <c r="O136" s="379"/>
      <c r="P136" s="379"/>
      <c r="Q136" s="379"/>
      <c r="R136" s="379"/>
      <c r="S136" s="379"/>
      <c r="T136" s="379"/>
      <c r="U136" s="101"/>
      <c r="V136" s="101"/>
      <c r="W136" s="101"/>
      <c r="X136" s="101"/>
      <c r="Y136" s="101"/>
    </row>
    <row r="137" spans="1:25" x14ac:dyDescent="0.2">
      <c r="A137" s="219">
        <v>88</v>
      </c>
      <c r="B137" s="36"/>
      <c r="C137" s="9" t="s">
        <v>173</v>
      </c>
      <c r="D137" s="9"/>
      <c r="E137" s="18" t="s">
        <v>174</v>
      </c>
      <c r="F137" s="155" t="s">
        <v>212</v>
      </c>
      <c r="G137" s="294"/>
      <c r="H137" s="260"/>
      <c r="I137" s="379"/>
      <c r="J137" s="379"/>
      <c r="K137" s="379"/>
      <c r="L137" s="379"/>
      <c r="M137" s="379"/>
      <c r="N137" s="379"/>
      <c r="O137" s="379"/>
      <c r="P137" s="379"/>
      <c r="Q137" s="379"/>
      <c r="R137" s="379"/>
      <c r="S137" s="379"/>
      <c r="T137" s="379"/>
      <c r="U137" s="101"/>
      <c r="V137" s="101"/>
      <c r="W137" s="101"/>
      <c r="X137" s="101"/>
      <c r="Y137" s="101"/>
    </row>
    <row r="138" spans="1:25" x14ac:dyDescent="0.2">
      <c r="A138" s="219"/>
      <c r="B138" s="36"/>
      <c r="C138" s="9" t="s">
        <v>206</v>
      </c>
      <c r="D138" s="9"/>
      <c r="E138" s="61"/>
      <c r="F138" s="154"/>
      <c r="G138" s="293"/>
      <c r="H138" s="259"/>
      <c r="I138" s="379"/>
      <c r="J138" s="379"/>
      <c r="K138" s="379"/>
      <c r="L138" s="379"/>
      <c r="M138" s="379"/>
      <c r="N138" s="379"/>
      <c r="O138" s="379"/>
      <c r="P138" s="379"/>
      <c r="Q138" s="379"/>
      <c r="R138" s="379"/>
      <c r="S138" s="379"/>
      <c r="T138" s="379"/>
      <c r="U138" s="101"/>
      <c r="V138" s="101"/>
      <c r="W138" s="101"/>
      <c r="X138" s="101"/>
      <c r="Y138" s="101"/>
    </row>
    <row r="139" spans="1:25" x14ac:dyDescent="0.2">
      <c r="A139" s="219">
        <v>89</v>
      </c>
      <c r="B139" s="36"/>
      <c r="C139" s="9"/>
      <c r="D139" s="9" t="s">
        <v>207</v>
      </c>
      <c r="E139" s="18" t="s">
        <v>177</v>
      </c>
      <c r="F139" s="155" t="s">
        <v>212</v>
      </c>
      <c r="G139" s="294"/>
      <c r="H139" s="269"/>
      <c r="I139" s="379"/>
      <c r="J139" s="379"/>
      <c r="K139" s="379"/>
      <c r="L139" s="379"/>
      <c r="M139" s="379"/>
      <c r="N139" s="379"/>
      <c r="O139" s="379"/>
      <c r="P139" s="379"/>
      <c r="Q139" s="379"/>
      <c r="R139" s="379"/>
      <c r="S139" s="379"/>
      <c r="T139" s="379"/>
      <c r="U139" s="101"/>
      <c r="V139" s="101"/>
      <c r="W139" s="101"/>
      <c r="X139" s="101"/>
      <c r="Y139" s="101"/>
    </row>
    <row r="140" spans="1:25" x14ac:dyDescent="0.2">
      <c r="A140" s="219">
        <v>90</v>
      </c>
      <c r="B140" s="36"/>
      <c r="C140" s="9"/>
      <c r="D140" s="9" t="s">
        <v>178</v>
      </c>
      <c r="E140" s="18" t="s">
        <v>179</v>
      </c>
      <c r="F140" s="155" t="s">
        <v>212</v>
      </c>
      <c r="G140" s="294"/>
      <c r="H140" s="260"/>
      <c r="I140" s="379"/>
      <c r="J140" s="379"/>
      <c r="K140" s="379"/>
      <c r="L140" s="379"/>
      <c r="M140" s="379"/>
      <c r="N140" s="379"/>
      <c r="O140" s="379"/>
      <c r="P140" s="379"/>
      <c r="Q140" s="379"/>
      <c r="R140" s="379"/>
      <c r="S140" s="379"/>
      <c r="T140" s="379"/>
      <c r="U140" s="101"/>
      <c r="V140" s="101"/>
      <c r="W140" s="101"/>
      <c r="X140" s="101"/>
      <c r="Y140" s="101"/>
    </row>
    <row r="141" spans="1:25" x14ac:dyDescent="0.2">
      <c r="A141" s="219">
        <v>91</v>
      </c>
      <c r="B141" s="36"/>
      <c r="C141" s="9" t="s">
        <v>213</v>
      </c>
      <c r="D141" s="9"/>
      <c r="E141" s="18" t="s">
        <v>214</v>
      </c>
      <c r="F141" s="155" t="s">
        <v>212</v>
      </c>
      <c r="G141" s="294"/>
      <c r="H141" s="260"/>
      <c r="I141" s="379"/>
      <c r="J141" s="379"/>
      <c r="K141" s="379"/>
      <c r="L141" s="379"/>
      <c r="M141" s="379"/>
      <c r="N141" s="379"/>
      <c r="O141" s="379"/>
      <c r="P141" s="379"/>
      <c r="Q141" s="379"/>
      <c r="R141" s="379"/>
      <c r="S141" s="379"/>
      <c r="T141" s="379"/>
      <c r="U141" s="101"/>
      <c r="V141" s="101"/>
      <c r="W141" s="101"/>
      <c r="X141" s="101"/>
      <c r="Y141" s="101"/>
    </row>
    <row r="142" spans="1:25" x14ac:dyDescent="0.2">
      <c r="A142" s="219">
        <v>92</v>
      </c>
      <c r="B142" s="36"/>
      <c r="C142" s="9" t="s">
        <v>182</v>
      </c>
      <c r="D142" s="9"/>
      <c r="E142" s="18" t="s">
        <v>183</v>
      </c>
      <c r="F142" s="155" t="s">
        <v>212</v>
      </c>
      <c r="G142" s="294"/>
      <c r="H142" s="260"/>
      <c r="I142" s="379"/>
      <c r="J142" s="379"/>
      <c r="K142" s="379"/>
      <c r="L142" s="379"/>
      <c r="M142" s="379"/>
      <c r="N142" s="379"/>
      <c r="O142" s="379"/>
      <c r="P142" s="379"/>
      <c r="Q142" s="379"/>
      <c r="R142" s="379"/>
      <c r="S142" s="379"/>
      <c r="T142" s="379"/>
      <c r="U142" s="101"/>
      <c r="V142" s="101"/>
      <c r="W142" s="101"/>
      <c r="X142" s="101"/>
      <c r="Y142" s="101"/>
    </row>
    <row r="143" spans="1:25" x14ac:dyDescent="0.2">
      <c r="A143" s="219">
        <v>93</v>
      </c>
      <c r="B143" s="36"/>
      <c r="C143" s="9" t="s">
        <v>184</v>
      </c>
      <c r="D143" s="9"/>
      <c r="E143" s="18" t="s">
        <v>185</v>
      </c>
      <c r="F143" s="155" t="s">
        <v>212</v>
      </c>
      <c r="G143" s="294"/>
      <c r="H143" s="269"/>
      <c r="I143" s="379"/>
      <c r="J143" s="379"/>
      <c r="K143" s="379"/>
      <c r="L143" s="379"/>
      <c r="M143" s="379"/>
      <c r="N143" s="379"/>
      <c r="O143" s="379"/>
      <c r="P143" s="379"/>
      <c r="Q143" s="379"/>
      <c r="R143" s="379"/>
      <c r="S143" s="379"/>
      <c r="T143" s="379"/>
      <c r="U143" s="101"/>
      <c r="V143" s="101"/>
      <c r="W143" s="101"/>
      <c r="X143" s="101"/>
      <c r="Y143" s="101"/>
    </row>
    <row r="144" spans="1:25" x14ac:dyDescent="0.2">
      <c r="A144" s="219">
        <v>94</v>
      </c>
      <c r="B144" s="36"/>
      <c r="C144" s="9" t="s">
        <v>186</v>
      </c>
      <c r="D144" s="9"/>
      <c r="E144" s="18" t="s">
        <v>187</v>
      </c>
      <c r="F144" s="155" t="s">
        <v>212</v>
      </c>
      <c r="G144" s="294"/>
      <c r="H144" s="260"/>
      <c r="I144" s="379"/>
      <c r="J144" s="379"/>
      <c r="K144" s="379"/>
      <c r="L144" s="379"/>
      <c r="M144" s="379"/>
      <c r="N144" s="379"/>
      <c r="O144" s="379"/>
      <c r="P144" s="379"/>
      <c r="Q144" s="379"/>
      <c r="R144" s="379"/>
      <c r="S144" s="379"/>
      <c r="T144" s="379"/>
      <c r="U144" s="101"/>
      <c r="V144" s="101"/>
      <c r="W144" s="101"/>
      <c r="X144" s="101"/>
      <c r="Y144" s="101"/>
    </row>
    <row r="145" spans="1:25" x14ac:dyDescent="0.2">
      <c r="A145" s="219">
        <v>95</v>
      </c>
      <c r="B145" s="36"/>
      <c r="C145" s="9" t="s">
        <v>188</v>
      </c>
      <c r="D145" s="9"/>
      <c r="E145" s="18" t="s">
        <v>189</v>
      </c>
      <c r="F145" s="155" t="s">
        <v>212</v>
      </c>
      <c r="G145" s="294"/>
      <c r="H145" s="269"/>
      <c r="I145" s="379"/>
      <c r="J145" s="379"/>
      <c r="K145" s="379"/>
      <c r="L145" s="379"/>
      <c r="M145" s="379"/>
      <c r="N145" s="379"/>
      <c r="O145" s="379"/>
      <c r="P145" s="379"/>
      <c r="Q145" s="379"/>
      <c r="R145" s="379"/>
      <c r="S145" s="379"/>
      <c r="T145" s="379"/>
      <c r="U145" s="101"/>
      <c r="V145" s="101"/>
      <c r="W145" s="101"/>
      <c r="X145" s="101"/>
      <c r="Y145" s="101"/>
    </row>
    <row r="146" spans="1:25" x14ac:dyDescent="0.2">
      <c r="A146" s="219">
        <v>96</v>
      </c>
      <c r="B146" s="36"/>
      <c r="C146" s="9" t="s">
        <v>190</v>
      </c>
      <c r="D146" s="9"/>
      <c r="E146" s="18" t="s">
        <v>191</v>
      </c>
      <c r="F146" s="155" t="s">
        <v>212</v>
      </c>
      <c r="G146" s="294"/>
      <c r="H146" s="269"/>
      <c r="I146" s="379"/>
      <c r="J146" s="379"/>
      <c r="K146" s="379"/>
      <c r="L146" s="379"/>
      <c r="M146" s="379"/>
      <c r="N146" s="379"/>
      <c r="O146" s="379"/>
      <c r="P146" s="379"/>
      <c r="Q146" s="379"/>
      <c r="R146" s="379"/>
      <c r="S146" s="379"/>
      <c r="T146" s="379"/>
      <c r="U146" s="101"/>
      <c r="V146" s="101"/>
      <c r="W146" s="101"/>
      <c r="X146" s="101"/>
      <c r="Y146" s="101"/>
    </row>
    <row r="147" spans="1:25" x14ac:dyDescent="0.2">
      <c r="A147" s="219">
        <v>97</v>
      </c>
      <c r="B147" s="36"/>
      <c r="C147" s="9" t="s">
        <v>192</v>
      </c>
      <c r="D147" s="9"/>
      <c r="E147" s="18" t="s">
        <v>193</v>
      </c>
      <c r="F147" s="155" t="s">
        <v>212</v>
      </c>
      <c r="G147" s="294"/>
      <c r="H147" s="269"/>
      <c r="I147" s="379"/>
      <c r="J147" s="379"/>
      <c r="K147" s="379"/>
      <c r="L147" s="379"/>
      <c r="M147" s="379"/>
      <c r="N147" s="379"/>
      <c r="O147" s="379"/>
      <c r="P147" s="379"/>
      <c r="Q147" s="379"/>
      <c r="R147" s="379"/>
      <c r="S147" s="379"/>
      <c r="T147" s="379"/>
      <c r="U147" s="101"/>
      <c r="V147" s="101"/>
      <c r="W147" s="101"/>
      <c r="X147" s="101"/>
      <c r="Y147" s="101"/>
    </row>
    <row r="148" spans="1:25" x14ac:dyDescent="0.2">
      <c r="A148" s="219">
        <v>98</v>
      </c>
      <c r="B148" s="36"/>
      <c r="C148" s="9" t="s">
        <v>194</v>
      </c>
      <c r="D148" s="9"/>
      <c r="E148" s="18" t="s">
        <v>195</v>
      </c>
      <c r="F148" s="155" t="s">
        <v>212</v>
      </c>
      <c r="G148" s="294"/>
      <c r="H148" s="269"/>
      <c r="I148" s="379"/>
      <c r="J148" s="379"/>
      <c r="K148" s="379"/>
      <c r="L148" s="379"/>
      <c r="M148" s="379"/>
      <c r="N148" s="379"/>
      <c r="O148" s="379"/>
      <c r="P148" s="379"/>
      <c r="Q148" s="379"/>
      <c r="R148" s="379"/>
      <c r="S148" s="379"/>
      <c r="T148" s="379"/>
      <c r="U148" s="101"/>
      <c r="V148" s="101"/>
      <c r="W148" s="101"/>
      <c r="X148" s="101"/>
      <c r="Y148" s="101"/>
    </row>
    <row r="149" spans="1:25" x14ac:dyDescent="0.2">
      <c r="A149" s="219">
        <v>99</v>
      </c>
      <c r="B149" s="36"/>
      <c r="C149" s="85" t="s">
        <v>196</v>
      </c>
      <c r="D149" s="9"/>
      <c r="E149" s="18"/>
      <c r="F149" s="155"/>
      <c r="G149" s="294"/>
      <c r="H149" s="260"/>
      <c r="I149" s="379"/>
      <c r="J149" s="379"/>
      <c r="K149" s="379"/>
      <c r="L149" s="379"/>
      <c r="M149" s="379"/>
      <c r="N149" s="379"/>
      <c r="O149" s="379"/>
      <c r="P149" s="379"/>
      <c r="Q149" s="379"/>
      <c r="R149" s="379"/>
      <c r="S149" s="379"/>
      <c r="T149" s="379"/>
      <c r="U149" s="101"/>
      <c r="V149" s="101"/>
      <c r="W149" s="101"/>
      <c r="X149" s="101"/>
      <c r="Y149" s="101"/>
    </row>
    <row r="150" spans="1:25" x14ac:dyDescent="0.2">
      <c r="A150" s="219">
        <v>100</v>
      </c>
      <c r="B150" s="36"/>
      <c r="C150" s="85"/>
      <c r="D150" s="9"/>
      <c r="E150" s="18"/>
      <c r="F150" s="155"/>
      <c r="G150" s="294"/>
      <c r="H150" s="260"/>
      <c r="I150" s="379"/>
      <c r="J150" s="379"/>
      <c r="K150" s="379"/>
      <c r="L150" s="379"/>
      <c r="M150" s="379"/>
      <c r="N150" s="379"/>
      <c r="O150" s="379"/>
      <c r="P150" s="379"/>
      <c r="Q150" s="379"/>
      <c r="R150" s="379"/>
      <c r="S150" s="379"/>
      <c r="T150" s="379"/>
      <c r="U150" s="101"/>
      <c r="V150" s="101"/>
      <c r="W150" s="101"/>
      <c r="X150" s="101"/>
      <c r="Y150" s="101"/>
    </row>
    <row r="151" spans="1:25" x14ac:dyDescent="0.2">
      <c r="A151" s="219">
        <v>101</v>
      </c>
      <c r="B151" s="36"/>
      <c r="C151" s="85"/>
      <c r="D151" s="9"/>
      <c r="E151" s="18"/>
      <c r="F151" s="155"/>
      <c r="G151" s="294"/>
      <c r="H151" s="260"/>
      <c r="I151" s="379"/>
      <c r="J151" s="379"/>
      <c r="K151" s="379"/>
      <c r="L151" s="379"/>
      <c r="M151" s="379"/>
      <c r="N151" s="379"/>
      <c r="O151" s="379"/>
      <c r="P151" s="379"/>
      <c r="Q151" s="379"/>
      <c r="R151" s="379"/>
      <c r="S151" s="379"/>
      <c r="T151" s="379"/>
      <c r="U151" s="101"/>
      <c r="V151" s="101"/>
      <c r="W151" s="101"/>
      <c r="X151" s="101"/>
      <c r="Y151" s="101"/>
    </row>
    <row r="152" spans="1:25" ht="15.75" customHeight="1" x14ac:dyDescent="0.2">
      <c r="A152" s="219">
        <v>102</v>
      </c>
      <c r="B152" s="83"/>
      <c r="D152" s="13"/>
      <c r="E152" s="14"/>
      <c r="F152" s="163"/>
      <c r="G152" s="306"/>
      <c r="H152" s="275"/>
      <c r="I152" s="379"/>
      <c r="J152" s="379"/>
      <c r="K152" s="379"/>
      <c r="L152" s="379"/>
      <c r="M152" s="379"/>
      <c r="N152" s="379"/>
      <c r="O152" s="379"/>
      <c r="P152" s="379"/>
      <c r="Q152" s="379"/>
      <c r="R152" s="379"/>
      <c r="S152" s="379"/>
      <c r="T152" s="379"/>
      <c r="U152" s="101"/>
      <c r="V152" s="101"/>
      <c r="W152" s="101"/>
      <c r="X152" s="101"/>
      <c r="Y152" s="101"/>
    </row>
    <row r="153" spans="1:25" ht="15.75" thickBot="1" x14ac:dyDescent="0.3">
      <c r="A153" s="220">
        <v>103</v>
      </c>
      <c r="B153" s="87" t="s">
        <v>215</v>
      </c>
      <c r="C153" s="51"/>
      <c r="D153" s="51"/>
      <c r="E153" s="49"/>
      <c r="F153" s="159"/>
      <c r="G153" s="297">
        <f>SUM(G131:G152)</f>
        <v>0</v>
      </c>
      <c r="H153" s="263"/>
      <c r="I153" s="379"/>
      <c r="J153" s="379"/>
      <c r="K153" s="379"/>
      <c r="L153" s="379"/>
      <c r="M153" s="379"/>
      <c r="N153" s="379"/>
      <c r="O153" s="379"/>
      <c r="P153" s="379"/>
      <c r="Q153" s="379"/>
      <c r="R153" s="379"/>
      <c r="S153" s="379"/>
      <c r="T153" s="379"/>
      <c r="U153" s="101"/>
      <c r="V153" s="101"/>
      <c r="W153" s="101"/>
      <c r="X153" s="101"/>
      <c r="Y153" s="101"/>
    </row>
    <row r="154" spans="1:25" ht="15.75" thickBot="1" x14ac:dyDescent="0.3">
      <c r="A154" s="223">
        <v>104</v>
      </c>
      <c r="B154" s="75" t="s">
        <v>216</v>
      </c>
      <c r="C154" s="76"/>
      <c r="D154" s="76"/>
      <c r="E154" s="45"/>
      <c r="F154" s="162"/>
      <c r="G154" s="303">
        <f>+G100+G127+G153</f>
        <v>2213771.2772939564</v>
      </c>
      <c r="H154" s="279"/>
      <c r="I154" s="379"/>
      <c r="J154" s="379"/>
      <c r="K154" s="379"/>
      <c r="L154" s="379"/>
      <c r="M154" s="379"/>
      <c r="N154" s="379"/>
      <c r="O154" s="379"/>
      <c r="P154" s="379"/>
      <c r="Q154" s="379"/>
      <c r="R154" s="379"/>
      <c r="S154" s="379"/>
      <c r="T154" s="379"/>
      <c r="U154" s="101"/>
      <c r="V154" s="101"/>
      <c r="W154" s="101"/>
      <c r="X154" s="101"/>
      <c r="Y154" s="101"/>
    </row>
    <row r="155" spans="1:25" ht="4.5" customHeight="1" x14ac:dyDescent="0.2">
      <c r="A155" s="224"/>
      <c r="B155" s="35"/>
      <c r="C155" s="12"/>
      <c r="D155" s="12"/>
      <c r="E155" s="16"/>
      <c r="F155" s="167"/>
      <c r="G155" s="310"/>
      <c r="H155" s="280"/>
      <c r="I155" s="379"/>
      <c r="J155" s="379"/>
      <c r="K155" s="379"/>
      <c r="L155" s="379"/>
      <c r="M155" s="379"/>
      <c r="N155" s="379"/>
      <c r="O155" s="379"/>
      <c r="P155" s="379"/>
      <c r="Q155" s="379"/>
      <c r="R155" s="379"/>
      <c r="S155" s="379"/>
      <c r="T155" s="379"/>
      <c r="U155" s="101"/>
      <c r="V155" s="101"/>
      <c r="W155" s="101"/>
      <c r="X155" s="101"/>
      <c r="Y155" s="101"/>
    </row>
    <row r="156" spans="1:25" s="4" customFormat="1" ht="15" x14ac:dyDescent="0.25">
      <c r="A156" s="219"/>
      <c r="B156" s="52" t="s">
        <v>217</v>
      </c>
      <c r="C156" s="53"/>
      <c r="D156" s="53"/>
      <c r="E156" s="61"/>
      <c r="F156" s="154"/>
      <c r="G156" s="293"/>
      <c r="H156" s="259"/>
      <c r="I156" s="379"/>
      <c r="J156" s="379"/>
      <c r="K156" s="379"/>
      <c r="L156" s="379"/>
      <c r="M156" s="379"/>
      <c r="N156" s="379"/>
      <c r="O156" s="379"/>
      <c r="P156" s="379"/>
      <c r="Q156" s="379"/>
      <c r="R156" s="379"/>
      <c r="S156" s="379"/>
      <c r="T156" s="379"/>
      <c r="U156" s="233"/>
      <c r="V156" s="233"/>
      <c r="W156" s="233"/>
      <c r="X156" s="233"/>
      <c r="Y156" s="233"/>
    </row>
    <row r="157" spans="1:25" s="4" customFormat="1" ht="15" x14ac:dyDescent="0.25">
      <c r="A157" s="219"/>
      <c r="B157" s="88" t="s">
        <v>218</v>
      </c>
      <c r="C157" s="53"/>
      <c r="D157" s="53"/>
      <c r="E157" s="61"/>
      <c r="F157" s="154"/>
      <c r="G157" s="293"/>
      <c r="H157" s="259"/>
      <c r="I157" s="379"/>
      <c r="J157" s="379"/>
      <c r="K157" s="379"/>
      <c r="L157" s="379"/>
      <c r="M157" s="379"/>
      <c r="N157" s="379"/>
      <c r="O157" s="379"/>
      <c r="P157" s="379"/>
      <c r="Q157" s="379"/>
      <c r="R157" s="379"/>
      <c r="S157" s="379"/>
      <c r="T157" s="379"/>
      <c r="U157" s="233"/>
      <c r="V157" s="233"/>
      <c r="W157" s="233"/>
      <c r="X157" s="233"/>
      <c r="Y157" s="233"/>
    </row>
    <row r="158" spans="1:25" x14ac:dyDescent="0.2">
      <c r="A158" s="219">
        <v>105</v>
      </c>
      <c r="B158" s="36"/>
      <c r="C158" s="9" t="s">
        <v>219</v>
      </c>
      <c r="D158" s="9"/>
      <c r="E158" s="18" t="s">
        <v>212</v>
      </c>
      <c r="F158" s="155" t="s">
        <v>220</v>
      </c>
      <c r="G158" s="294">
        <v>40000</v>
      </c>
      <c r="H158" s="269" t="s">
        <v>162</v>
      </c>
      <c r="I158" s="379"/>
      <c r="J158" s="379"/>
      <c r="K158" s="379"/>
      <c r="L158" s="379"/>
      <c r="M158" s="379"/>
      <c r="N158" s="379"/>
      <c r="O158" s="379"/>
      <c r="P158" s="379"/>
      <c r="Q158" s="379"/>
      <c r="R158" s="379"/>
      <c r="S158" s="379"/>
      <c r="T158" s="379"/>
      <c r="U158" s="101"/>
      <c r="V158" s="101"/>
      <c r="W158" s="101"/>
      <c r="X158" s="101"/>
      <c r="Y158" s="101"/>
    </row>
    <row r="159" spans="1:25" x14ac:dyDescent="0.2">
      <c r="A159" s="219">
        <v>106</v>
      </c>
      <c r="B159" s="36"/>
      <c r="C159" s="9" t="s">
        <v>221</v>
      </c>
      <c r="D159" s="9"/>
      <c r="E159" s="18" t="s">
        <v>212</v>
      </c>
      <c r="F159" s="155" t="s">
        <v>220</v>
      </c>
      <c r="G159" s="294">
        <v>50000</v>
      </c>
      <c r="H159" s="269" t="s">
        <v>162</v>
      </c>
      <c r="I159" s="379"/>
      <c r="J159" s="379"/>
      <c r="K159" s="379"/>
      <c r="L159" s="379"/>
      <c r="M159" s="379"/>
      <c r="N159" s="379"/>
      <c r="O159" s="379"/>
      <c r="P159" s="379"/>
      <c r="Q159" s="379"/>
      <c r="R159" s="379"/>
      <c r="S159" s="379"/>
      <c r="T159" s="379"/>
      <c r="U159" s="101"/>
      <c r="V159" s="101"/>
      <c r="W159" s="101"/>
      <c r="X159" s="101"/>
      <c r="Y159" s="101"/>
    </row>
    <row r="160" spans="1:25" x14ac:dyDescent="0.2">
      <c r="A160" s="219">
        <v>107</v>
      </c>
      <c r="B160" s="36"/>
      <c r="C160" s="9" t="s">
        <v>222</v>
      </c>
      <c r="D160" s="9"/>
      <c r="E160" s="18" t="s">
        <v>212</v>
      </c>
      <c r="F160" s="155" t="s">
        <v>220</v>
      </c>
      <c r="G160" s="294">
        <v>50000</v>
      </c>
      <c r="H160" s="269" t="s">
        <v>162</v>
      </c>
      <c r="I160" s="379"/>
      <c r="J160" s="379"/>
      <c r="K160" s="379"/>
      <c r="L160" s="379"/>
      <c r="M160" s="379"/>
      <c r="N160" s="379"/>
      <c r="O160" s="379"/>
      <c r="P160" s="379"/>
      <c r="Q160" s="379"/>
      <c r="R160" s="379"/>
      <c r="S160" s="379"/>
      <c r="T160" s="379"/>
      <c r="U160" s="101"/>
      <c r="V160" s="101"/>
      <c r="W160" s="101"/>
      <c r="X160" s="101"/>
      <c r="Y160" s="101"/>
    </row>
    <row r="161" spans="1:25" x14ac:dyDescent="0.2">
      <c r="A161" s="219">
        <v>108</v>
      </c>
      <c r="B161" s="36"/>
      <c r="C161" s="9" t="s">
        <v>223</v>
      </c>
      <c r="D161" s="9"/>
      <c r="E161" s="18" t="s">
        <v>212</v>
      </c>
      <c r="F161" s="155" t="s">
        <v>220</v>
      </c>
      <c r="G161" s="294"/>
      <c r="H161" s="269"/>
      <c r="I161" s="379"/>
      <c r="J161" s="379"/>
      <c r="K161" s="379"/>
      <c r="L161" s="379"/>
      <c r="M161" s="379"/>
      <c r="N161" s="379"/>
      <c r="O161" s="379"/>
      <c r="P161" s="379"/>
      <c r="Q161" s="379"/>
      <c r="R161" s="379"/>
      <c r="S161" s="379"/>
      <c r="T161" s="379"/>
      <c r="U161" s="101"/>
      <c r="V161" s="101"/>
      <c r="W161" s="101"/>
      <c r="X161" s="101"/>
      <c r="Y161" s="101"/>
    </row>
    <row r="162" spans="1:25" x14ac:dyDescent="0.2">
      <c r="A162" s="219">
        <v>109</v>
      </c>
      <c r="B162" s="36"/>
      <c r="C162" s="9" t="s">
        <v>184</v>
      </c>
      <c r="D162" s="9"/>
      <c r="E162" s="18" t="s">
        <v>185</v>
      </c>
      <c r="F162" s="155" t="s">
        <v>220</v>
      </c>
      <c r="G162" s="294">
        <v>11077.56</v>
      </c>
      <c r="H162" s="269" t="s">
        <v>162</v>
      </c>
      <c r="I162" s="379"/>
      <c r="J162" s="379"/>
      <c r="K162" s="379"/>
      <c r="L162" s="379"/>
      <c r="M162" s="379"/>
      <c r="N162" s="379"/>
      <c r="O162" s="379"/>
      <c r="P162" s="379"/>
      <c r="Q162" s="379"/>
      <c r="R162" s="379"/>
      <c r="S162" s="379"/>
      <c r="T162" s="379"/>
      <c r="U162" s="101"/>
      <c r="V162" s="101"/>
      <c r="W162" s="101"/>
      <c r="X162" s="101"/>
      <c r="Y162" s="101"/>
    </row>
    <row r="163" spans="1:25" x14ac:dyDescent="0.2">
      <c r="A163" s="219">
        <v>110</v>
      </c>
      <c r="B163" s="36"/>
      <c r="C163" s="9" t="s">
        <v>186</v>
      </c>
      <c r="D163" s="9"/>
      <c r="E163" s="18" t="s">
        <v>187</v>
      </c>
      <c r="F163" s="155" t="s">
        <v>220</v>
      </c>
      <c r="G163" s="294">
        <v>8680</v>
      </c>
      <c r="H163" s="260" t="s">
        <v>162</v>
      </c>
      <c r="I163" s="379"/>
      <c r="J163" s="379"/>
      <c r="K163" s="379"/>
      <c r="L163" s="379"/>
      <c r="M163" s="379"/>
      <c r="N163" s="379"/>
      <c r="O163" s="379"/>
      <c r="P163" s="379"/>
      <c r="Q163" s="379"/>
      <c r="R163" s="379"/>
      <c r="S163" s="379"/>
      <c r="T163" s="379"/>
      <c r="U163" s="101"/>
      <c r="V163" s="101"/>
      <c r="W163" s="101"/>
      <c r="X163" s="101"/>
      <c r="Y163" s="101"/>
    </row>
    <row r="164" spans="1:25" x14ac:dyDescent="0.2">
      <c r="A164" s="219">
        <v>111</v>
      </c>
      <c r="B164" s="36"/>
      <c r="C164" s="9" t="s">
        <v>188</v>
      </c>
      <c r="D164" s="9"/>
      <c r="E164" s="18" t="s">
        <v>189</v>
      </c>
      <c r="F164" s="155" t="s">
        <v>220</v>
      </c>
      <c r="G164" s="294">
        <v>2030</v>
      </c>
      <c r="H164" s="269" t="s">
        <v>162</v>
      </c>
      <c r="I164" s="379"/>
      <c r="J164" s="379"/>
      <c r="K164" s="379"/>
      <c r="L164" s="379"/>
      <c r="M164" s="379"/>
      <c r="N164" s="379"/>
      <c r="O164" s="379"/>
      <c r="P164" s="379"/>
      <c r="Q164" s="379"/>
      <c r="R164" s="379"/>
      <c r="S164" s="379"/>
      <c r="T164" s="379"/>
      <c r="U164" s="101"/>
      <c r="V164" s="101"/>
      <c r="W164" s="101"/>
      <c r="X164" s="101"/>
      <c r="Y164" s="101"/>
    </row>
    <row r="165" spans="1:25" x14ac:dyDescent="0.2">
      <c r="A165" s="219">
        <v>112</v>
      </c>
      <c r="B165" s="36"/>
      <c r="C165" s="9" t="s">
        <v>190</v>
      </c>
      <c r="D165" s="9"/>
      <c r="E165" s="18" t="s">
        <v>191</v>
      </c>
      <c r="F165" s="155" t="s">
        <v>220</v>
      </c>
      <c r="G165" s="294">
        <v>7000</v>
      </c>
      <c r="H165" s="269" t="s">
        <v>162</v>
      </c>
      <c r="I165" s="379"/>
      <c r="J165" s="379"/>
      <c r="K165" s="379"/>
      <c r="L165" s="379"/>
      <c r="M165" s="379"/>
      <c r="N165" s="379"/>
      <c r="O165" s="379"/>
      <c r="P165" s="379"/>
      <c r="Q165" s="379"/>
      <c r="R165" s="379"/>
      <c r="S165" s="379"/>
      <c r="T165" s="379"/>
      <c r="U165" s="101"/>
      <c r="V165" s="101"/>
      <c r="W165" s="101"/>
      <c r="X165" s="101"/>
      <c r="Y165" s="101"/>
    </row>
    <row r="166" spans="1:25" x14ac:dyDescent="0.2">
      <c r="A166" s="219">
        <v>113</v>
      </c>
      <c r="B166" s="36"/>
      <c r="C166" s="9" t="s">
        <v>192</v>
      </c>
      <c r="D166" s="9"/>
      <c r="E166" s="18" t="s">
        <v>193</v>
      </c>
      <c r="F166" s="155" t="s">
        <v>220</v>
      </c>
      <c r="G166" s="294"/>
      <c r="H166" s="269"/>
      <c r="I166" s="379"/>
      <c r="J166" s="379"/>
      <c r="K166" s="379"/>
      <c r="L166" s="379"/>
      <c r="M166" s="379"/>
      <c r="N166" s="379"/>
      <c r="O166" s="379"/>
      <c r="P166" s="379"/>
      <c r="Q166" s="379"/>
      <c r="R166" s="379"/>
      <c r="S166" s="379"/>
      <c r="T166" s="379"/>
      <c r="U166" s="101"/>
      <c r="V166" s="101"/>
      <c r="W166" s="101"/>
      <c r="X166" s="101"/>
      <c r="Y166" s="101"/>
    </row>
    <row r="167" spans="1:25" x14ac:dyDescent="0.2">
      <c r="A167" s="219">
        <v>114</v>
      </c>
      <c r="B167" s="36"/>
      <c r="C167" s="9" t="s">
        <v>194</v>
      </c>
      <c r="D167" s="9"/>
      <c r="E167" s="18" t="s">
        <v>195</v>
      </c>
      <c r="F167" s="155" t="s">
        <v>220</v>
      </c>
      <c r="G167" s="294"/>
      <c r="H167" s="269"/>
      <c r="I167" s="379"/>
      <c r="J167" s="379"/>
      <c r="K167" s="379"/>
      <c r="L167" s="379"/>
      <c r="M167" s="379"/>
      <c r="N167" s="379"/>
      <c r="O167" s="379"/>
      <c r="P167" s="379"/>
      <c r="Q167" s="379"/>
      <c r="R167" s="379"/>
      <c r="S167" s="379"/>
      <c r="T167" s="379"/>
      <c r="U167" s="101"/>
      <c r="V167" s="101"/>
      <c r="W167" s="101"/>
      <c r="X167" s="101"/>
      <c r="Y167" s="101"/>
    </row>
    <row r="168" spans="1:25" x14ac:dyDescent="0.2">
      <c r="A168" s="219">
        <v>115</v>
      </c>
      <c r="B168" s="36"/>
      <c r="C168" s="85" t="s">
        <v>196</v>
      </c>
      <c r="D168" s="9"/>
      <c r="E168" s="18"/>
      <c r="F168" s="155"/>
      <c r="G168" s="294"/>
      <c r="H168" s="260"/>
      <c r="I168" s="379"/>
      <c r="J168" s="379"/>
      <c r="K168" s="379"/>
      <c r="L168" s="379"/>
      <c r="M168" s="379"/>
      <c r="N168" s="379"/>
      <c r="O168" s="379"/>
      <c r="P168" s="379"/>
      <c r="Q168" s="379"/>
      <c r="R168" s="379"/>
      <c r="S168" s="379"/>
      <c r="T168" s="379"/>
      <c r="U168" s="101"/>
      <c r="V168" s="101"/>
      <c r="W168" s="101"/>
      <c r="X168" s="101"/>
      <c r="Y168" s="101"/>
    </row>
    <row r="169" spans="1:25" x14ac:dyDescent="0.2">
      <c r="A169" s="219">
        <v>116</v>
      </c>
      <c r="B169" s="36"/>
      <c r="C169" s="85"/>
      <c r="D169" s="9"/>
      <c r="E169" s="18"/>
      <c r="F169" s="155"/>
      <c r="G169" s="294"/>
      <c r="H169" s="260"/>
      <c r="I169" s="379"/>
      <c r="J169" s="379"/>
      <c r="K169" s="379"/>
      <c r="L169" s="379"/>
      <c r="M169" s="379"/>
      <c r="N169" s="379"/>
      <c r="O169" s="379"/>
      <c r="P169" s="379"/>
      <c r="Q169" s="379"/>
      <c r="R169" s="379"/>
      <c r="S169" s="379"/>
      <c r="T169" s="379"/>
      <c r="U169" s="101"/>
      <c r="V169" s="101"/>
      <c r="W169" s="101"/>
      <c r="X169" s="101"/>
      <c r="Y169" s="101"/>
    </row>
    <row r="170" spans="1:25" x14ac:dyDescent="0.2">
      <c r="A170" s="219">
        <v>117</v>
      </c>
      <c r="B170" s="83"/>
      <c r="C170" s="84"/>
      <c r="D170" s="13"/>
      <c r="E170" s="14"/>
      <c r="F170" s="163"/>
      <c r="G170" s="306"/>
      <c r="H170" s="275"/>
      <c r="I170" s="379"/>
      <c r="J170" s="379"/>
      <c r="K170" s="379"/>
      <c r="L170" s="379"/>
      <c r="M170" s="379"/>
      <c r="N170" s="379"/>
      <c r="O170" s="379"/>
      <c r="P170" s="379"/>
      <c r="Q170" s="379"/>
      <c r="R170" s="379"/>
      <c r="S170" s="379"/>
      <c r="T170" s="379"/>
      <c r="U170" s="101"/>
      <c r="V170" s="101"/>
      <c r="W170" s="101"/>
      <c r="X170" s="101"/>
      <c r="Y170" s="101"/>
    </row>
    <row r="171" spans="1:25" ht="15" x14ac:dyDescent="0.25">
      <c r="A171" s="220">
        <v>118</v>
      </c>
      <c r="B171" s="87" t="s">
        <v>224</v>
      </c>
      <c r="C171" s="51"/>
      <c r="D171" s="51"/>
      <c r="E171" s="49"/>
      <c r="F171" s="159"/>
      <c r="G171" s="297">
        <f>SUM(G158:G170)</f>
        <v>168787.56</v>
      </c>
      <c r="H171" s="263"/>
      <c r="I171" s="379"/>
      <c r="J171" s="379"/>
      <c r="K171" s="379"/>
      <c r="L171" s="379"/>
      <c r="M171" s="379"/>
      <c r="N171" s="379"/>
      <c r="O171" s="379"/>
      <c r="P171" s="379"/>
      <c r="Q171" s="379"/>
      <c r="R171" s="379"/>
      <c r="S171" s="379"/>
      <c r="T171" s="379"/>
      <c r="U171" s="101"/>
      <c r="V171" s="101"/>
      <c r="W171" s="101"/>
      <c r="X171" s="101"/>
      <c r="Y171" s="101"/>
    </row>
    <row r="172" spans="1:25" ht="9" customHeight="1" x14ac:dyDescent="0.2">
      <c r="A172" s="224"/>
      <c r="B172" s="35"/>
      <c r="C172" s="12"/>
      <c r="D172" s="12"/>
      <c r="E172" s="16"/>
      <c r="F172" s="167"/>
      <c r="G172" s="310"/>
      <c r="H172" s="280"/>
      <c r="I172" s="379"/>
      <c r="J172" s="379"/>
      <c r="K172" s="379"/>
      <c r="L172" s="379"/>
      <c r="M172" s="379"/>
      <c r="N172" s="379"/>
      <c r="O172" s="379"/>
      <c r="P172" s="379"/>
      <c r="Q172" s="379"/>
      <c r="R172" s="379"/>
      <c r="S172" s="379"/>
      <c r="T172" s="379"/>
      <c r="U172" s="101"/>
      <c r="V172" s="101"/>
      <c r="W172" s="101"/>
      <c r="X172" s="101"/>
      <c r="Y172" s="101"/>
    </row>
    <row r="173" spans="1:25" s="4" customFormat="1" ht="15" x14ac:dyDescent="0.25">
      <c r="A173" s="219"/>
      <c r="B173" s="88" t="s">
        <v>225</v>
      </c>
      <c r="C173" s="53"/>
      <c r="D173" s="53"/>
      <c r="E173" s="61"/>
      <c r="F173" s="154"/>
      <c r="G173" s="293"/>
      <c r="H173" s="259"/>
      <c r="I173" s="379"/>
      <c r="J173" s="379"/>
      <c r="K173" s="379"/>
      <c r="L173" s="379"/>
      <c r="M173" s="379"/>
      <c r="N173" s="379"/>
      <c r="O173" s="379"/>
      <c r="P173" s="379"/>
      <c r="Q173" s="379"/>
      <c r="R173" s="379"/>
      <c r="S173" s="379"/>
      <c r="T173" s="379"/>
      <c r="U173" s="233"/>
      <c r="V173" s="233"/>
      <c r="W173" s="233"/>
      <c r="X173" s="233"/>
      <c r="Y173" s="233"/>
    </row>
    <row r="174" spans="1:25" x14ac:dyDescent="0.2">
      <c r="A174" s="219">
        <v>119</v>
      </c>
      <c r="B174" s="36"/>
      <c r="C174" s="9" t="s">
        <v>226</v>
      </c>
      <c r="D174" s="9"/>
      <c r="E174" s="18">
        <v>111</v>
      </c>
      <c r="F174" s="155" t="s">
        <v>227</v>
      </c>
      <c r="G174" s="294">
        <v>190000</v>
      </c>
      <c r="H174" s="269" t="s">
        <v>162</v>
      </c>
      <c r="I174" s="379"/>
      <c r="J174" s="379"/>
      <c r="K174" s="379"/>
      <c r="L174" s="379"/>
      <c r="M174" s="379"/>
      <c r="N174" s="379"/>
      <c r="O174" s="379"/>
      <c r="P174" s="379"/>
      <c r="Q174" s="379"/>
      <c r="R174" s="379"/>
      <c r="S174" s="379"/>
      <c r="T174" s="379"/>
      <c r="U174" s="101"/>
      <c r="V174" s="101"/>
      <c r="W174" s="101"/>
      <c r="X174" s="101"/>
      <c r="Y174" s="101"/>
    </row>
    <row r="175" spans="1:25" x14ac:dyDescent="0.2">
      <c r="A175" s="219">
        <v>120</v>
      </c>
      <c r="B175" s="36"/>
      <c r="C175" s="9" t="s">
        <v>228</v>
      </c>
      <c r="D175" s="9"/>
      <c r="E175" s="18" t="s">
        <v>212</v>
      </c>
      <c r="F175" s="155" t="s">
        <v>227</v>
      </c>
      <c r="G175" s="294"/>
      <c r="H175" s="269"/>
      <c r="I175" s="379"/>
      <c r="J175" s="379"/>
      <c r="K175" s="379"/>
      <c r="L175" s="379"/>
      <c r="M175" s="379"/>
      <c r="N175" s="379"/>
      <c r="O175" s="379"/>
      <c r="P175" s="379"/>
      <c r="Q175" s="379"/>
      <c r="R175" s="379"/>
      <c r="S175" s="379"/>
      <c r="T175" s="379"/>
      <c r="U175" s="101"/>
      <c r="V175" s="101"/>
      <c r="W175" s="101"/>
      <c r="X175" s="101"/>
      <c r="Y175" s="101"/>
    </row>
    <row r="176" spans="1:25" x14ac:dyDescent="0.2">
      <c r="A176" s="219">
        <v>121</v>
      </c>
      <c r="B176" s="36"/>
      <c r="C176" s="9" t="s">
        <v>229</v>
      </c>
      <c r="D176" s="9"/>
      <c r="E176" s="18" t="s">
        <v>230</v>
      </c>
      <c r="F176" s="155" t="s">
        <v>227</v>
      </c>
      <c r="G176" s="294"/>
      <c r="H176" s="269"/>
      <c r="I176" s="379"/>
      <c r="J176" s="379"/>
      <c r="K176" s="379"/>
      <c r="L176" s="379"/>
      <c r="M176" s="379"/>
      <c r="N176" s="379"/>
      <c r="O176" s="379"/>
      <c r="P176" s="379"/>
      <c r="Q176" s="379"/>
      <c r="R176" s="379"/>
      <c r="S176" s="379"/>
      <c r="T176" s="379"/>
      <c r="U176" s="101"/>
      <c r="V176" s="101"/>
      <c r="W176" s="101"/>
      <c r="X176" s="101"/>
      <c r="Y176" s="101"/>
    </row>
    <row r="177" spans="1:25" x14ac:dyDescent="0.2">
      <c r="A177" s="219">
        <v>122</v>
      </c>
      <c r="B177" s="36"/>
      <c r="C177" s="9" t="s">
        <v>231</v>
      </c>
      <c r="D177" s="9"/>
      <c r="E177" s="18" t="s">
        <v>212</v>
      </c>
      <c r="F177" s="155">
        <v>2230</v>
      </c>
      <c r="G177" s="294"/>
      <c r="H177" s="269"/>
      <c r="I177" s="379"/>
      <c r="J177" s="379"/>
      <c r="K177" s="379"/>
      <c r="L177" s="379"/>
      <c r="M177" s="379"/>
      <c r="N177" s="379"/>
      <c r="O177" s="379"/>
      <c r="P177" s="379"/>
      <c r="Q177" s="379"/>
      <c r="R177" s="379"/>
      <c r="S177" s="379"/>
      <c r="T177" s="379"/>
      <c r="U177" s="101"/>
      <c r="V177" s="101"/>
      <c r="W177" s="101"/>
      <c r="X177" s="101"/>
      <c r="Y177" s="101"/>
    </row>
    <row r="178" spans="1:25" x14ac:dyDescent="0.2">
      <c r="A178" s="219">
        <v>123</v>
      </c>
      <c r="B178" s="36"/>
      <c r="C178" s="9" t="s">
        <v>232</v>
      </c>
      <c r="D178" s="9"/>
      <c r="E178" s="18" t="s">
        <v>212</v>
      </c>
      <c r="F178" s="155" t="s">
        <v>227</v>
      </c>
      <c r="G178" s="294"/>
      <c r="H178" s="269"/>
      <c r="I178" s="379"/>
      <c r="J178" s="379"/>
      <c r="K178" s="379"/>
      <c r="L178" s="379"/>
      <c r="M178" s="379"/>
      <c r="N178" s="379"/>
      <c r="O178" s="379"/>
      <c r="P178" s="379"/>
      <c r="Q178" s="379"/>
      <c r="R178" s="379"/>
      <c r="S178" s="379"/>
      <c r="T178" s="379"/>
      <c r="U178" s="101"/>
      <c r="V178" s="101"/>
      <c r="W178" s="101"/>
      <c r="X178" s="101"/>
      <c r="Y178" s="101"/>
    </row>
    <row r="179" spans="1:25" x14ac:dyDescent="0.2">
      <c r="A179" s="219">
        <v>124</v>
      </c>
      <c r="B179" s="36"/>
      <c r="C179" s="9" t="s">
        <v>184</v>
      </c>
      <c r="D179" s="9"/>
      <c r="E179" s="18" t="s">
        <v>185</v>
      </c>
      <c r="F179" s="155" t="s">
        <v>227</v>
      </c>
      <c r="G179" s="294">
        <v>11077.56</v>
      </c>
      <c r="H179" s="269" t="s">
        <v>162</v>
      </c>
      <c r="I179" s="379"/>
      <c r="J179" s="379"/>
      <c r="K179" s="379"/>
      <c r="L179" s="379"/>
      <c r="M179" s="379"/>
      <c r="N179" s="379"/>
      <c r="O179" s="379"/>
      <c r="P179" s="379"/>
      <c r="Q179" s="379"/>
      <c r="R179" s="379"/>
      <c r="S179" s="379"/>
      <c r="T179" s="379"/>
      <c r="U179" s="101"/>
      <c r="V179" s="101"/>
      <c r="W179" s="101"/>
      <c r="X179" s="101"/>
      <c r="Y179" s="101"/>
    </row>
    <row r="180" spans="1:25" x14ac:dyDescent="0.2">
      <c r="A180" s="219">
        <v>125</v>
      </c>
      <c r="B180" s="36"/>
      <c r="C180" s="9" t="s">
        <v>186</v>
      </c>
      <c r="D180" s="9"/>
      <c r="E180" s="18" t="s">
        <v>187</v>
      </c>
      <c r="F180" s="155" t="s">
        <v>227</v>
      </c>
      <c r="G180" s="294">
        <v>11780</v>
      </c>
      <c r="H180" s="269" t="s">
        <v>162</v>
      </c>
      <c r="I180" s="379"/>
      <c r="J180" s="379"/>
      <c r="K180" s="379"/>
      <c r="L180" s="379"/>
      <c r="M180" s="379"/>
      <c r="N180" s="379"/>
      <c r="O180" s="379"/>
      <c r="P180" s="379"/>
      <c r="Q180" s="379"/>
      <c r="R180" s="379"/>
      <c r="S180" s="379"/>
      <c r="T180" s="379"/>
      <c r="U180" s="101"/>
      <c r="V180" s="101"/>
      <c r="W180" s="101"/>
      <c r="X180" s="101"/>
      <c r="Y180" s="101"/>
    </row>
    <row r="181" spans="1:25" x14ac:dyDescent="0.2">
      <c r="A181" s="219">
        <v>126</v>
      </c>
      <c r="B181" s="36"/>
      <c r="C181" s="9" t="s">
        <v>188</v>
      </c>
      <c r="D181" s="9"/>
      <c r="E181" s="18" t="s">
        <v>189</v>
      </c>
      <c r="F181" s="155" t="s">
        <v>227</v>
      </c>
      <c r="G181" s="294">
        <v>2754.9999999999995</v>
      </c>
      <c r="H181" s="269" t="s">
        <v>162</v>
      </c>
      <c r="I181" s="379"/>
      <c r="J181" s="379"/>
      <c r="K181" s="379"/>
      <c r="L181" s="379"/>
      <c r="M181" s="379"/>
      <c r="N181" s="379"/>
      <c r="O181" s="379"/>
      <c r="P181" s="379"/>
      <c r="Q181" s="379"/>
      <c r="R181" s="379"/>
      <c r="S181" s="379"/>
      <c r="T181" s="379"/>
      <c r="U181" s="101"/>
      <c r="V181" s="101"/>
      <c r="W181" s="101"/>
      <c r="X181" s="101"/>
      <c r="Y181" s="101"/>
    </row>
    <row r="182" spans="1:25" x14ac:dyDescent="0.2">
      <c r="A182" s="219">
        <v>127</v>
      </c>
      <c r="B182" s="36"/>
      <c r="C182" s="9" t="s">
        <v>190</v>
      </c>
      <c r="D182" s="9"/>
      <c r="E182" s="18" t="s">
        <v>191</v>
      </c>
      <c r="F182" s="155" t="s">
        <v>227</v>
      </c>
      <c r="G182" s="294">
        <v>9500</v>
      </c>
      <c r="H182" s="269" t="s">
        <v>162</v>
      </c>
      <c r="I182" s="379"/>
      <c r="J182" s="379"/>
      <c r="K182" s="379"/>
      <c r="L182" s="379"/>
      <c r="M182" s="379"/>
      <c r="N182" s="379"/>
      <c r="O182" s="379"/>
      <c r="P182" s="379"/>
      <c r="Q182" s="379"/>
      <c r="R182" s="379"/>
      <c r="S182" s="379"/>
      <c r="T182" s="379"/>
      <c r="U182" s="101"/>
      <c r="V182" s="101"/>
      <c r="W182" s="101"/>
      <c r="X182" s="101"/>
      <c r="Y182" s="101"/>
    </row>
    <row r="183" spans="1:25" x14ac:dyDescent="0.2">
      <c r="A183" s="219">
        <v>128</v>
      </c>
      <c r="B183" s="36"/>
      <c r="C183" s="9" t="s">
        <v>192</v>
      </c>
      <c r="D183" s="9"/>
      <c r="E183" s="18" t="s">
        <v>193</v>
      </c>
      <c r="F183" s="155" t="s">
        <v>227</v>
      </c>
      <c r="G183" s="294"/>
      <c r="H183" s="269"/>
      <c r="I183" s="379"/>
      <c r="J183" s="379"/>
      <c r="K183" s="379"/>
      <c r="L183" s="379"/>
      <c r="M183" s="379"/>
      <c r="N183" s="379"/>
      <c r="O183" s="379"/>
      <c r="P183" s="379"/>
      <c r="Q183" s="379"/>
      <c r="R183" s="379"/>
      <c r="S183" s="379"/>
      <c r="T183" s="379"/>
      <c r="U183" s="101"/>
      <c r="V183" s="101"/>
      <c r="W183" s="101"/>
      <c r="X183" s="101"/>
      <c r="Y183" s="101"/>
    </row>
    <row r="184" spans="1:25" x14ac:dyDescent="0.2">
      <c r="A184" s="219">
        <v>129</v>
      </c>
      <c r="B184" s="36"/>
      <c r="C184" s="9" t="s">
        <v>194</v>
      </c>
      <c r="D184" s="9"/>
      <c r="E184" s="18" t="s">
        <v>195</v>
      </c>
      <c r="F184" s="155" t="s">
        <v>227</v>
      </c>
      <c r="G184" s="294"/>
      <c r="H184" s="269"/>
      <c r="I184" s="379"/>
      <c r="J184" s="379"/>
      <c r="K184" s="379"/>
      <c r="L184" s="379"/>
      <c r="M184" s="379"/>
      <c r="N184" s="379"/>
      <c r="O184" s="379"/>
      <c r="P184" s="379"/>
      <c r="Q184" s="379"/>
      <c r="R184" s="379"/>
      <c r="S184" s="379"/>
      <c r="T184" s="379"/>
      <c r="U184" s="101"/>
      <c r="V184" s="101"/>
      <c r="W184" s="101"/>
      <c r="X184" s="101"/>
      <c r="Y184" s="101"/>
    </row>
    <row r="185" spans="1:25" x14ac:dyDescent="0.2">
      <c r="A185" s="219">
        <v>130</v>
      </c>
      <c r="B185" s="36"/>
      <c r="C185" s="85" t="s">
        <v>196</v>
      </c>
      <c r="D185" s="9"/>
      <c r="E185" s="18"/>
      <c r="F185" s="155"/>
      <c r="G185" s="294"/>
      <c r="H185" s="260"/>
      <c r="I185" s="379"/>
      <c r="J185" s="379"/>
      <c r="K185" s="379"/>
      <c r="L185" s="379"/>
      <c r="M185" s="379"/>
      <c r="N185" s="379"/>
      <c r="O185" s="379"/>
      <c r="P185" s="379"/>
      <c r="Q185" s="379"/>
      <c r="R185" s="379"/>
      <c r="S185" s="379"/>
      <c r="T185" s="379"/>
      <c r="U185" s="101"/>
      <c r="V185" s="101"/>
      <c r="W185" s="101"/>
      <c r="X185" s="101"/>
      <c r="Y185" s="101"/>
    </row>
    <row r="186" spans="1:25" x14ac:dyDescent="0.2">
      <c r="A186" s="219">
        <v>131</v>
      </c>
      <c r="B186" s="36"/>
      <c r="C186" s="85"/>
      <c r="D186" s="9"/>
      <c r="E186" s="18"/>
      <c r="F186" s="155"/>
      <c r="G186" s="294"/>
      <c r="H186" s="260"/>
      <c r="I186" s="379"/>
      <c r="J186" s="379"/>
      <c r="K186" s="379"/>
      <c r="L186" s="379"/>
      <c r="M186" s="379"/>
      <c r="N186" s="379"/>
      <c r="O186" s="379"/>
      <c r="P186" s="379"/>
      <c r="Q186" s="379"/>
      <c r="R186" s="379"/>
      <c r="S186" s="379"/>
      <c r="T186" s="379"/>
      <c r="U186" s="101"/>
      <c r="V186" s="101"/>
      <c r="W186" s="101"/>
      <c r="X186" s="101"/>
      <c r="Y186" s="101"/>
    </row>
    <row r="187" spans="1:25" x14ac:dyDescent="0.2">
      <c r="A187" s="219">
        <v>132</v>
      </c>
      <c r="B187" s="83"/>
      <c r="D187" s="13"/>
      <c r="E187" s="14"/>
      <c r="F187" s="163"/>
      <c r="G187" s="306"/>
      <c r="H187" s="275"/>
      <c r="I187" s="379"/>
      <c r="J187" s="379"/>
      <c r="K187" s="379"/>
      <c r="L187" s="379"/>
      <c r="M187" s="379"/>
      <c r="N187" s="379"/>
      <c r="O187" s="379"/>
      <c r="P187" s="379"/>
      <c r="Q187" s="379"/>
      <c r="R187" s="379"/>
      <c r="S187" s="379"/>
      <c r="T187" s="379"/>
      <c r="U187" s="101"/>
      <c r="V187" s="101"/>
      <c r="W187" s="101"/>
      <c r="X187" s="101"/>
      <c r="Y187" s="101"/>
    </row>
    <row r="188" spans="1:25" ht="15" x14ac:dyDescent="0.25">
      <c r="A188" s="220">
        <v>133</v>
      </c>
      <c r="B188" s="87" t="s">
        <v>233</v>
      </c>
      <c r="C188" s="51"/>
      <c r="D188" s="51"/>
      <c r="E188" s="49"/>
      <c r="F188" s="159"/>
      <c r="G188" s="297">
        <f>SUM(G174:G187)</f>
        <v>225112.56</v>
      </c>
      <c r="H188" s="263"/>
      <c r="I188" s="379"/>
      <c r="J188" s="379"/>
      <c r="K188" s="379"/>
      <c r="L188" s="379"/>
      <c r="M188" s="379"/>
      <c r="N188" s="379"/>
      <c r="O188" s="379"/>
      <c r="P188" s="379"/>
      <c r="Q188" s="379"/>
      <c r="R188" s="379"/>
      <c r="S188" s="379"/>
      <c r="T188" s="379"/>
      <c r="U188" s="101"/>
      <c r="V188" s="101"/>
      <c r="W188" s="101"/>
      <c r="X188" s="101"/>
      <c r="Y188" s="101"/>
    </row>
    <row r="189" spans="1:25" ht="4.5" customHeight="1" x14ac:dyDescent="0.2">
      <c r="A189" s="224"/>
      <c r="B189" s="35"/>
      <c r="C189" s="12"/>
      <c r="D189" s="12"/>
      <c r="E189" s="16"/>
      <c r="F189" s="167"/>
      <c r="G189" s="310"/>
      <c r="H189" s="280"/>
      <c r="I189" s="379"/>
      <c r="J189" s="379"/>
      <c r="K189" s="379"/>
      <c r="L189" s="379"/>
      <c r="M189" s="379"/>
      <c r="N189" s="379"/>
      <c r="O189" s="379"/>
      <c r="P189" s="379"/>
      <c r="Q189" s="379"/>
      <c r="R189" s="379"/>
      <c r="S189" s="379"/>
      <c r="T189" s="379"/>
      <c r="U189" s="101"/>
      <c r="V189" s="101"/>
      <c r="W189" s="101"/>
      <c r="X189" s="101"/>
      <c r="Y189" s="101"/>
    </row>
    <row r="190" spans="1:25" s="4" customFormat="1" ht="15" x14ac:dyDescent="0.25">
      <c r="A190" s="219"/>
      <c r="B190" s="88" t="s">
        <v>234</v>
      </c>
      <c r="C190" s="53"/>
      <c r="D190" s="53"/>
      <c r="E190" s="61"/>
      <c r="F190" s="154"/>
      <c r="G190" s="293"/>
      <c r="H190" s="259"/>
      <c r="I190" s="379"/>
      <c r="J190" s="379"/>
      <c r="K190" s="379"/>
      <c r="L190" s="379"/>
      <c r="M190" s="379"/>
      <c r="N190" s="379"/>
      <c r="O190" s="379"/>
      <c r="P190" s="379"/>
      <c r="Q190" s="379"/>
      <c r="R190" s="379"/>
      <c r="S190" s="379"/>
      <c r="T190" s="379"/>
      <c r="U190" s="233"/>
      <c r="V190" s="233"/>
      <c r="W190" s="233"/>
      <c r="X190" s="233"/>
      <c r="Y190" s="233"/>
    </row>
    <row r="191" spans="1:25" x14ac:dyDescent="0.2">
      <c r="A191" s="219"/>
      <c r="B191" s="25"/>
      <c r="C191" s="11" t="s">
        <v>235</v>
      </c>
      <c r="D191" s="11"/>
      <c r="E191" s="61"/>
      <c r="F191" s="154"/>
      <c r="G191" s="293"/>
      <c r="H191" s="259"/>
      <c r="I191" s="379"/>
      <c r="J191" s="379"/>
      <c r="K191" s="379"/>
      <c r="L191" s="379"/>
      <c r="M191" s="379"/>
      <c r="N191" s="379"/>
      <c r="O191" s="379"/>
      <c r="P191" s="379"/>
      <c r="Q191" s="379"/>
      <c r="R191" s="379"/>
      <c r="S191" s="379"/>
      <c r="T191" s="379"/>
      <c r="U191" s="101"/>
      <c r="V191" s="101"/>
      <c r="W191" s="101"/>
      <c r="X191" s="101"/>
      <c r="Y191" s="101"/>
    </row>
    <row r="192" spans="1:25" x14ac:dyDescent="0.2">
      <c r="A192" s="219">
        <v>134</v>
      </c>
      <c r="B192" s="36"/>
      <c r="C192" s="9"/>
      <c r="D192" s="9" t="s">
        <v>236</v>
      </c>
      <c r="E192" s="18">
        <v>332</v>
      </c>
      <c r="F192" s="155" t="s">
        <v>237</v>
      </c>
      <c r="G192" s="294"/>
      <c r="H192" s="269"/>
      <c r="I192" s="379"/>
      <c r="J192" s="379"/>
      <c r="K192" s="379"/>
      <c r="L192" s="379"/>
      <c r="M192" s="379"/>
      <c r="N192" s="379"/>
      <c r="O192" s="379"/>
      <c r="P192" s="379"/>
      <c r="Q192" s="379"/>
      <c r="R192" s="379"/>
      <c r="S192" s="379"/>
      <c r="T192" s="379"/>
      <c r="U192" s="101"/>
      <c r="V192" s="101"/>
      <c r="W192" s="101"/>
      <c r="X192" s="101"/>
      <c r="Y192" s="101"/>
    </row>
    <row r="193" spans="1:25" x14ac:dyDescent="0.2">
      <c r="A193" s="219">
        <v>135</v>
      </c>
      <c r="B193" s="36"/>
      <c r="C193" s="9"/>
      <c r="D193" s="9" t="s">
        <v>168</v>
      </c>
      <c r="E193" s="18" t="s">
        <v>169</v>
      </c>
      <c r="F193" s="155" t="s">
        <v>238</v>
      </c>
      <c r="G193" s="294"/>
      <c r="H193" s="260"/>
      <c r="I193" s="379"/>
      <c r="J193" s="379"/>
      <c r="K193" s="379"/>
      <c r="L193" s="379"/>
      <c r="M193" s="379"/>
      <c r="N193" s="379"/>
      <c r="O193" s="379"/>
      <c r="P193" s="379"/>
      <c r="Q193" s="379"/>
      <c r="R193" s="379"/>
      <c r="S193" s="379"/>
      <c r="T193" s="379"/>
      <c r="U193" s="101"/>
      <c r="V193" s="101"/>
      <c r="W193" s="101"/>
      <c r="X193" s="101"/>
      <c r="Y193" s="101"/>
    </row>
    <row r="194" spans="1:25" x14ac:dyDescent="0.2">
      <c r="A194" s="219">
        <v>136</v>
      </c>
      <c r="B194" s="36"/>
      <c r="C194" s="9"/>
      <c r="D194" s="9" t="s">
        <v>239</v>
      </c>
      <c r="E194" s="18" t="s">
        <v>240</v>
      </c>
      <c r="F194" s="155" t="s">
        <v>238</v>
      </c>
      <c r="G194" s="294"/>
      <c r="H194" s="260"/>
      <c r="I194" s="379"/>
      <c r="J194" s="379"/>
      <c r="K194" s="379"/>
      <c r="L194" s="379"/>
      <c r="M194" s="379"/>
      <c r="N194" s="379"/>
      <c r="O194" s="379"/>
      <c r="P194" s="379"/>
      <c r="Q194" s="379"/>
      <c r="R194" s="379"/>
      <c r="S194" s="379"/>
      <c r="T194" s="379"/>
      <c r="U194" s="101"/>
      <c r="V194" s="101"/>
      <c r="W194" s="101"/>
      <c r="X194" s="101"/>
      <c r="Y194" s="101"/>
    </row>
    <row r="195" spans="1:25" x14ac:dyDescent="0.2">
      <c r="A195" s="219">
        <v>137</v>
      </c>
      <c r="B195" s="36"/>
      <c r="C195" s="9"/>
      <c r="D195" s="9" t="s">
        <v>241</v>
      </c>
      <c r="E195" s="18" t="s">
        <v>242</v>
      </c>
      <c r="F195" s="155" t="s">
        <v>237</v>
      </c>
      <c r="G195" s="294"/>
      <c r="H195" s="269"/>
      <c r="I195" s="379"/>
      <c r="J195" s="379"/>
      <c r="K195" s="379"/>
      <c r="L195" s="379"/>
      <c r="M195" s="379"/>
      <c r="N195" s="379"/>
      <c r="O195" s="379"/>
      <c r="P195" s="379"/>
      <c r="Q195" s="379"/>
      <c r="R195" s="379"/>
      <c r="S195" s="379"/>
      <c r="T195" s="379"/>
      <c r="U195" s="101"/>
      <c r="V195" s="101"/>
      <c r="W195" s="101"/>
      <c r="X195" s="101"/>
      <c r="Y195" s="101"/>
    </row>
    <row r="196" spans="1:25" x14ac:dyDescent="0.2">
      <c r="A196" s="219">
        <v>138</v>
      </c>
      <c r="B196" s="36"/>
      <c r="C196" s="9"/>
      <c r="D196" s="9" t="s">
        <v>51</v>
      </c>
      <c r="E196" s="18" t="s">
        <v>243</v>
      </c>
      <c r="F196" s="155" t="s">
        <v>238</v>
      </c>
      <c r="G196" s="294"/>
      <c r="H196" s="260"/>
      <c r="I196" s="379"/>
      <c r="J196" s="379"/>
      <c r="K196" s="379"/>
      <c r="L196" s="379"/>
      <c r="M196" s="379"/>
      <c r="N196" s="379"/>
      <c r="O196" s="379"/>
      <c r="P196" s="379"/>
      <c r="Q196" s="379"/>
      <c r="R196" s="379"/>
      <c r="S196" s="379"/>
      <c r="T196" s="379"/>
      <c r="U196" s="101"/>
      <c r="V196" s="101"/>
      <c r="W196" s="101"/>
      <c r="X196" s="101"/>
      <c r="Y196" s="101"/>
    </row>
    <row r="197" spans="1:25" x14ac:dyDescent="0.2">
      <c r="A197" s="219">
        <v>139</v>
      </c>
      <c r="B197" s="36"/>
      <c r="C197" s="9"/>
      <c r="D197" s="9" t="s">
        <v>244</v>
      </c>
      <c r="E197" s="18">
        <v>730</v>
      </c>
      <c r="F197" s="155" t="s">
        <v>237</v>
      </c>
      <c r="G197" s="294"/>
      <c r="H197" s="260"/>
      <c r="I197" s="379"/>
      <c r="J197" s="379"/>
      <c r="K197" s="379"/>
      <c r="L197" s="379"/>
      <c r="M197" s="379"/>
      <c r="N197" s="379"/>
      <c r="O197" s="379"/>
      <c r="P197" s="379"/>
      <c r="Q197" s="379"/>
      <c r="R197" s="379"/>
      <c r="S197" s="379"/>
      <c r="T197" s="379"/>
      <c r="U197" s="101"/>
      <c r="V197" s="101"/>
      <c r="W197" s="101"/>
      <c r="X197" s="101"/>
      <c r="Y197" s="101"/>
    </row>
    <row r="198" spans="1:25" x14ac:dyDescent="0.2">
      <c r="A198" s="219">
        <v>140</v>
      </c>
      <c r="B198" s="36"/>
      <c r="C198" s="9"/>
      <c r="D198" s="9" t="s">
        <v>245</v>
      </c>
      <c r="E198" s="18" t="s">
        <v>246</v>
      </c>
      <c r="F198" s="155" t="s">
        <v>238</v>
      </c>
      <c r="G198" s="294"/>
      <c r="H198" s="260"/>
      <c r="I198" s="379"/>
      <c r="J198" s="379"/>
      <c r="K198" s="379"/>
      <c r="L198" s="379"/>
      <c r="M198" s="379"/>
      <c r="N198" s="379"/>
      <c r="O198" s="379"/>
      <c r="P198" s="379"/>
      <c r="Q198" s="379"/>
      <c r="R198" s="379"/>
      <c r="S198" s="379"/>
      <c r="T198" s="379"/>
      <c r="U198" s="101"/>
      <c r="V198" s="101"/>
      <c r="W198" s="101"/>
      <c r="X198" s="101"/>
      <c r="Y198" s="101"/>
    </row>
    <row r="199" spans="1:25" x14ac:dyDescent="0.2">
      <c r="A199" s="219">
        <v>141</v>
      </c>
      <c r="B199" s="36"/>
      <c r="C199" s="9"/>
      <c r="D199" s="9" t="s">
        <v>247</v>
      </c>
      <c r="E199" s="18" t="s">
        <v>248</v>
      </c>
      <c r="F199" s="155" t="s">
        <v>238</v>
      </c>
      <c r="G199" s="294"/>
      <c r="H199" s="260"/>
      <c r="I199" s="379"/>
      <c r="J199" s="379"/>
      <c r="K199" s="379"/>
      <c r="L199" s="379"/>
      <c r="M199" s="379"/>
      <c r="N199" s="379"/>
      <c r="O199" s="379"/>
      <c r="P199" s="379"/>
      <c r="Q199" s="379"/>
      <c r="R199" s="379"/>
      <c r="S199" s="379"/>
      <c r="T199" s="379"/>
      <c r="U199" s="101"/>
      <c r="V199" s="101"/>
      <c r="W199" s="101"/>
      <c r="X199" s="101"/>
      <c r="Y199" s="101"/>
    </row>
    <row r="200" spans="1:25" x14ac:dyDescent="0.2">
      <c r="A200" s="219">
        <v>142</v>
      </c>
      <c r="B200" s="36"/>
      <c r="C200" s="85" t="s">
        <v>196</v>
      </c>
      <c r="D200" s="9"/>
      <c r="E200" s="18"/>
      <c r="F200" s="155"/>
      <c r="G200" s="294"/>
      <c r="H200" s="260"/>
      <c r="I200" s="379"/>
      <c r="J200" s="379"/>
      <c r="K200" s="379"/>
      <c r="L200" s="379"/>
      <c r="M200" s="379"/>
      <c r="N200" s="379"/>
      <c r="O200" s="379"/>
      <c r="P200" s="379"/>
      <c r="Q200" s="379"/>
      <c r="R200" s="379"/>
      <c r="S200" s="379"/>
      <c r="T200" s="379"/>
      <c r="U200" s="101"/>
      <c r="V200" s="101"/>
      <c r="W200" s="101"/>
      <c r="X200" s="101"/>
      <c r="Y200" s="101"/>
    </row>
    <row r="201" spans="1:25" x14ac:dyDescent="0.2">
      <c r="A201" s="219">
        <v>143</v>
      </c>
      <c r="B201" s="107"/>
      <c r="C201" s="108"/>
      <c r="D201" s="109"/>
      <c r="E201" s="18"/>
      <c r="F201" s="155"/>
      <c r="G201" s="294"/>
      <c r="H201" s="260"/>
      <c r="I201" s="379"/>
      <c r="J201" s="379"/>
      <c r="K201" s="379"/>
      <c r="L201" s="379"/>
      <c r="M201" s="379"/>
      <c r="N201" s="379"/>
      <c r="O201" s="379"/>
      <c r="P201" s="379"/>
      <c r="Q201" s="379"/>
      <c r="R201" s="379"/>
      <c r="S201" s="379"/>
      <c r="T201" s="379"/>
      <c r="U201" s="101"/>
      <c r="V201" s="101"/>
      <c r="W201" s="101"/>
      <c r="X201" s="101"/>
      <c r="Y201" s="101"/>
    </row>
    <row r="202" spans="1:25" x14ac:dyDescent="0.2">
      <c r="A202" s="219">
        <v>144</v>
      </c>
      <c r="B202" s="36"/>
      <c r="C202" s="9"/>
      <c r="D202" s="9"/>
      <c r="E202" s="18"/>
      <c r="F202" s="155"/>
      <c r="G202" s="294"/>
      <c r="H202" s="260"/>
      <c r="I202" s="379"/>
      <c r="J202" s="379"/>
      <c r="K202" s="379"/>
      <c r="L202" s="379"/>
      <c r="M202" s="379"/>
      <c r="N202" s="379"/>
      <c r="O202" s="379"/>
      <c r="P202" s="379"/>
      <c r="Q202" s="379"/>
      <c r="R202" s="379"/>
      <c r="S202" s="379"/>
      <c r="T202" s="379"/>
      <c r="U202" s="101"/>
      <c r="V202" s="101"/>
      <c r="W202" s="101"/>
      <c r="X202" s="101"/>
      <c r="Y202" s="101"/>
    </row>
    <row r="203" spans="1:25" ht="15" x14ac:dyDescent="0.25">
      <c r="A203" s="220">
        <v>145</v>
      </c>
      <c r="B203" s="87" t="s">
        <v>249</v>
      </c>
      <c r="C203" s="51"/>
      <c r="D203" s="51"/>
      <c r="E203" s="49"/>
      <c r="F203" s="159"/>
      <c r="G203" s="297">
        <f>SUM(G192:G202)</f>
        <v>0</v>
      </c>
      <c r="H203" s="263"/>
      <c r="I203" s="379"/>
      <c r="J203" s="379"/>
      <c r="K203" s="379"/>
      <c r="L203" s="379"/>
      <c r="M203" s="379"/>
      <c r="N203" s="379"/>
      <c r="O203" s="379"/>
      <c r="P203" s="379"/>
      <c r="Q203" s="379"/>
      <c r="R203" s="379"/>
      <c r="S203" s="379"/>
      <c r="T203" s="379"/>
      <c r="U203" s="101"/>
      <c r="V203" s="101"/>
      <c r="W203" s="101"/>
      <c r="X203" s="101"/>
      <c r="Y203" s="101"/>
    </row>
    <row r="204" spans="1:25" x14ac:dyDescent="0.2">
      <c r="A204" s="219"/>
      <c r="B204" s="36"/>
      <c r="C204" s="9"/>
      <c r="D204" s="9"/>
      <c r="E204" s="18"/>
      <c r="F204" s="155"/>
      <c r="G204" s="294"/>
      <c r="H204" s="260"/>
      <c r="I204" s="379"/>
      <c r="J204" s="379"/>
      <c r="K204" s="379"/>
      <c r="L204" s="379"/>
      <c r="M204" s="379"/>
      <c r="N204" s="379"/>
      <c r="O204" s="379"/>
      <c r="P204" s="379"/>
      <c r="Q204" s="379"/>
      <c r="R204" s="379"/>
      <c r="S204" s="379"/>
      <c r="T204" s="379"/>
      <c r="U204" s="101"/>
      <c r="V204" s="101"/>
      <c r="W204" s="101"/>
      <c r="X204" s="101"/>
      <c r="Y204" s="101"/>
    </row>
    <row r="205" spans="1:25" s="4" customFormat="1" ht="15" x14ac:dyDescent="0.25">
      <c r="A205" s="219"/>
      <c r="B205" s="88" t="s">
        <v>250</v>
      </c>
      <c r="C205" s="53"/>
      <c r="D205" s="53"/>
      <c r="E205" s="61"/>
      <c r="F205" s="154"/>
      <c r="G205" s="293"/>
      <c r="H205" s="259"/>
      <c r="I205" s="379"/>
      <c r="J205" s="379"/>
      <c r="K205" s="379"/>
      <c r="L205" s="379"/>
      <c r="M205" s="379"/>
      <c r="N205" s="379"/>
      <c r="O205" s="379"/>
      <c r="P205" s="379"/>
      <c r="Q205" s="379"/>
      <c r="R205" s="379"/>
      <c r="S205" s="379"/>
      <c r="T205" s="379"/>
      <c r="U205" s="233"/>
      <c r="V205" s="233"/>
      <c r="W205" s="233"/>
      <c r="X205" s="233"/>
      <c r="Y205" s="233"/>
    </row>
    <row r="206" spans="1:25" x14ac:dyDescent="0.2">
      <c r="A206" s="219"/>
      <c r="B206" s="36"/>
      <c r="C206" s="9" t="s">
        <v>160</v>
      </c>
      <c r="D206" s="9"/>
      <c r="E206" s="61"/>
      <c r="F206" s="154"/>
      <c r="G206" s="293"/>
      <c r="H206" s="259"/>
      <c r="I206" s="379"/>
      <c r="J206" s="379"/>
      <c r="K206" s="379"/>
      <c r="L206" s="379"/>
      <c r="M206" s="379"/>
      <c r="N206" s="379"/>
      <c r="O206" s="379"/>
      <c r="P206" s="379"/>
      <c r="Q206" s="379"/>
      <c r="R206" s="379"/>
      <c r="S206" s="379"/>
      <c r="T206" s="379"/>
      <c r="U206" s="101"/>
      <c r="V206" s="101"/>
      <c r="W206" s="101"/>
      <c r="X206" s="101"/>
      <c r="Y206" s="101"/>
    </row>
    <row r="207" spans="1:25" x14ac:dyDescent="0.2">
      <c r="A207" s="219">
        <v>146</v>
      </c>
      <c r="B207" s="36"/>
      <c r="C207" s="9"/>
      <c r="D207" s="9" t="s">
        <v>251</v>
      </c>
      <c r="E207" s="18" t="s">
        <v>252</v>
      </c>
      <c r="F207" s="155" t="s">
        <v>253</v>
      </c>
      <c r="G207" s="294">
        <v>100000</v>
      </c>
      <c r="H207" s="269" t="s">
        <v>162</v>
      </c>
      <c r="I207" s="379"/>
      <c r="J207" s="379"/>
      <c r="K207" s="379"/>
      <c r="L207" s="379"/>
      <c r="M207" s="379"/>
      <c r="N207" s="379"/>
      <c r="O207" s="379"/>
      <c r="P207" s="379"/>
      <c r="Q207" s="379"/>
      <c r="R207" s="379"/>
      <c r="S207" s="379"/>
      <c r="T207" s="379"/>
      <c r="U207" s="101"/>
      <c r="V207" s="101"/>
      <c r="W207" s="101"/>
      <c r="X207" s="101"/>
      <c r="Y207" s="101"/>
    </row>
    <row r="208" spans="1:25" x14ac:dyDescent="0.2">
      <c r="A208" s="219">
        <v>147</v>
      </c>
      <c r="B208" s="36"/>
      <c r="C208" s="9"/>
      <c r="D208" s="9" t="s">
        <v>254</v>
      </c>
      <c r="E208" s="18" t="s">
        <v>252</v>
      </c>
      <c r="F208" s="155" t="s">
        <v>255</v>
      </c>
      <c r="G208" s="294">
        <v>92500</v>
      </c>
      <c r="H208" s="269" t="s">
        <v>162</v>
      </c>
      <c r="I208" s="379"/>
      <c r="J208" s="379"/>
      <c r="K208" s="379"/>
      <c r="L208" s="379"/>
      <c r="M208" s="379"/>
      <c r="N208" s="379"/>
      <c r="O208" s="379"/>
      <c r="P208" s="379"/>
      <c r="Q208" s="379"/>
      <c r="R208" s="379"/>
      <c r="S208" s="379"/>
      <c r="T208" s="379"/>
      <c r="U208" s="101"/>
      <c r="V208" s="101"/>
      <c r="W208" s="101"/>
      <c r="X208" s="101"/>
      <c r="Y208" s="101"/>
    </row>
    <row r="209" spans="1:25" x14ac:dyDescent="0.2">
      <c r="A209" s="219">
        <v>148</v>
      </c>
      <c r="B209" s="36"/>
      <c r="C209" s="9"/>
      <c r="D209" s="9" t="s">
        <v>256</v>
      </c>
      <c r="E209" s="18" t="s">
        <v>257</v>
      </c>
      <c r="F209" s="155" t="s">
        <v>258</v>
      </c>
      <c r="G209" s="294">
        <v>65000</v>
      </c>
      <c r="H209" s="269" t="s">
        <v>162</v>
      </c>
      <c r="I209" s="379"/>
      <c r="J209" s="379"/>
      <c r="K209" s="379"/>
      <c r="L209" s="379"/>
      <c r="M209" s="379"/>
      <c r="N209" s="379"/>
      <c r="O209" s="379"/>
      <c r="P209" s="379"/>
      <c r="Q209" s="379"/>
      <c r="R209" s="379"/>
      <c r="S209" s="379"/>
      <c r="T209" s="379"/>
      <c r="U209" s="101"/>
      <c r="V209" s="101"/>
      <c r="W209" s="101"/>
      <c r="X209" s="101"/>
      <c r="Y209" s="101"/>
    </row>
    <row r="210" spans="1:25" ht="24" x14ac:dyDescent="0.2">
      <c r="A210" s="219">
        <v>149</v>
      </c>
      <c r="B210" s="36"/>
      <c r="C210" s="9" t="s">
        <v>168</v>
      </c>
      <c r="D210" s="9"/>
      <c r="E210" s="18" t="s">
        <v>169</v>
      </c>
      <c r="F210" s="155" t="s">
        <v>258</v>
      </c>
      <c r="G210" s="294">
        <f>+'Rev &amp; Exp Assumptions'!D18+'Rev &amp; Exp Assumptions'!D54+'Rev &amp; Exp Assumptions'!D23+'Rev &amp; Exp Assumptions'!D29+'Rev &amp; Exp Assumptions'!D57</f>
        <v>120672.26324175825</v>
      </c>
      <c r="H210" s="376" t="s">
        <v>259</v>
      </c>
      <c r="I210" s="379"/>
      <c r="J210" s="379"/>
      <c r="K210" s="379"/>
      <c r="L210" s="379"/>
      <c r="M210" s="379"/>
      <c r="N210" s="379"/>
      <c r="O210" s="379"/>
      <c r="P210" s="379"/>
      <c r="Q210" s="379"/>
      <c r="R210" s="379"/>
      <c r="S210" s="379"/>
      <c r="T210" s="379"/>
      <c r="U210" s="101"/>
      <c r="V210" s="101"/>
      <c r="W210" s="101"/>
      <c r="X210" s="101"/>
      <c r="Y210" s="101"/>
    </row>
    <row r="211" spans="1:25" x14ac:dyDescent="0.2">
      <c r="A211" s="219">
        <v>150</v>
      </c>
      <c r="B211" s="36"/>
      <c r="C211" s="9" t="s">
        <v>171</v>
      </c>
      <c r="D211" s="9"/>
      <c r="E211" s="18" t="s">
        <v>172</v>
      </c>
      <c r="F211" s="155" t="s">
        <v>258</v>
      </c>
      <c r="G211" s="294"/>
      <c r="H211" s="260"/>
      <c r="I211" s="379"/>
      <c r="J211" s="379"/>
      <c r="K211" s="379"/>
      <c r="L211" s="379"/>
      <c r="M211" s="379"/>
      <c r="N211" s="379"/>
      <c r="O211" s="379"/>
      <c r="P211" s="379"/>
      <c r="Q211" s="379"/>
      <c r="R211" s="379"/>
      <c r="S211" s="379"/>
      <c r="T211" s="379"/>
      <c r="U211" s="101"/>
      <c r="V211" s="101"/>
      <c r="W211" s="101"/>
      <c r="X211" s="101"/>
      <c r="Y211" s="101"/>
    </row>
    <row r="212" spans="1:25" x14ac:dyDescent="0.2">
      <c r="A212" s="219">
        <v>151</v>
      </c>
      <c r="B212" s="36"/>
      <c r="C212" s="9" t="s">
        <v>260</v>
      </c>
      <c r="D212" s="9"/>
      <c r="E212" s="18" t="s">
        <v>261</v>
      </c>
      <c r="F212" s="155" t="s">
        <v>258</v>
      </c>
      <c r="G212" s="294">
        <f>+'Rev &amp; Exp Assumptions'!D42</f>
        <v>54488.330769230772</v>
      </c>
      <c r="H212" s="269" t="s">
        <v>262</v>
      </c>
      <c r="I212" s="379"/>
      <c r="J212" s="379"/>
      <c r="K212" s="379"/>
      <c r="L212" s="379"/>
      <c r="M212" s="379"/>
      <c r="N212" s="379"/>
      <c r="O212" s="379"/>
      <c r="P212" s="379"/>
      <c r="Q212" s="379"/>
      <c r="R212" s="379"/>
      <c r="S212" s="379"/>
      <c r="T212" s="379"/>
      <c r="U212" s="101"/>
      <c r="V212" s="101"/>
      <c r="W212" s="101"/>
      <c r="X212" s="101"/>
      <c r="Y212" s="101"/>
    </row>
    <row r="213" spans="1:25" x14ac:dyDescent="0.2">
      <c r="A213" s="219">
        <v>152</v>
      </c>
      <c r="B213" s="36"/>
      <c r="C213" s="9" t="s">
        <v>263</v>
      </c>
      <c r="D213" s="9"/>
      <c r="E213" s="18" t="s">
        <v>264</v>
      </c>
      <c r="F213" s="155" t="s">
        <v>258</v>
      </c>
      <c r="G213" s="294"/>
      <c r="H213" s="269"/>
      <c r="I213" s="379"/>
      <c r="J213" s="379"/>
      <c r="K213" s="379"/>
      <c r="L213" s="379"/>
      <c r="M213" s="379"/>
      <c r="N213" s="379"/>
      <c r="O213" s="379"/>
      <c r="P213" s="379"/>
      <c r="Q213" s="379"/>
      <c r="R213" s="379"/>
      <c r="S213" s="379"/>
      <c r="T213" s="379"/>
      <c r="U213" s="101"/>
      <c r="V213" s="101"/>
      <c r="W213" s="101"/>
      <c r="X213" s="101"/>
      <c r="Y213" s="101"/>
    </row>
    <row r="214" spans="1:25" x14ac:dyDescent="0.2">
      <c r="A214" s="219">
        <v>153</v>
      </c>
      <c r="B214" s="36"/>
      <c r="C214" s="9" t="s">
        <v>173</v>
      </c>
      <c r="D214" s="9"/>
      <c r="E214" s="18" t="s">
        <v>174</v>
      </c>
      <c r="F214" s="155" t="s">
        <v>258</v>
      </c>
      <c r="G214" s="294">
        <f>+'Rev &amp; Exp Assumptions'!D58</f>
        <v>7502.6107894736833</v>
      </c>
      <c r="H214" s="269" t="s">
        <v>262</v>
      </c>
      <c r="I214" s="379"/>
      <c r="J214" s="379"/>
      <c r="K214" s="379"/>
      <c r="L214" s="379"/>
      <c r="M214" s="379"/>
      <c r="N214" s="379"/>
      <c r="O214" s="379"/>
      <c r="P214" s="379"/>
      <c r="Q214" s="379"/>
      <c r="R214" s="379"/>
      <c r="S214" s="379"/>
      <c r="T214" s="379"/>
      <c r="U214" s="101"/>
      <c r="V214" s="101"/>
      <c r="W214" s="101"/>
      <c r="X214" s="101"/>
      <c r="Y214" s="101"/>
    </row>
    <row r="215" spans="1:25" x14ac:dyDescent="0.2">
      <c r="A215" s="219">
        <v>154</v>
      </c>
      <c r="B215" s="36"/>
      <c r="C215" s="9" t="s">
        <v>207</v>
      </c>
      <c r="D215" s="9"/>
      <c r="E215" s="18" t="s">
        <v>177</v>
      </c>
      <c r="F215" s="155" t="s">
        <v>258</v>
      </c>
      <c r="G215" s="294">
        <f>+'Rev &amp; Exp Assumptions'!D56</f>
        <v>51290.120131578944</v>
      </c>
      <c r="H215" s="269" t="s">
        <v>262</v>
      </c>
      <c r="I215" s="379"/>
      <c r="J215" s="379"/>
      <c r="K215" s="379"/>
      <c r="L215" s="379"/>
      <c r="M215" s="379"/>
      <c r="N215" s="379"/>
      <c r="O215" s="379"/>
      <c r="P215" s="379"/>
      <c r="Q215" s="379"/>
      <c r="R215" s="379"/>
      <c r="S215" s="379"/>
      <c r="T215" s="379"/>
      <c r="U215" s="101"/>
      <c r="V215" s="101"/>
      <c r="W215" s="101"/>
      <c r="X215" s="101"/>
      <c r="Y215" s="101"/>
    </row>
    <row r="216" spans="1:25" x14ac:dyDescent="0.2">
      <c r="A216" s="219">
        <v>155</v>
      </c>
      <c r="B216" s="36"/>
      <c r="C216" s="9" t="s">
        <v>213</v>
      </c>
      <c r="D216" s="9"/>
      <c r="E216" s="18" t="s">
        <v>214</v>
      </c>
      <c r="F216" s="155" t="s">
        <v>258</v>
      </c>
      <c r="G216" s="294">
        <f>+'Rev &amp; Exp Assumptions'!D25</f>
        <v>21104.927884615387</v>
      </c>
      <c r="H216" s="269" t="s">
        <v>262</v>
      </c>
      <c r="I216" s="379"/>
      <c r="J216" s="379"/>
      <c r="K216" s="379"/>
      <c r="L216" s="379"/>
      <c r="M216" s="379"/>
      <c r="N216" s="379"/>
      <c r="O216" s="379"/>
      <c r="P216" s="379"/>
      <c r="Q216" s="379"/>
      <c r="R216" s="379"/>
      <c r="S216" s="379"/>
      <c r="T216" s="379"/>
      <c r="U216" s="101"/>
      <c r="V216" s="101"/>
      <c r="W216" s="101"/>
      <c r="X216" s="101"/>
      <c r="Y216" s="101"/>
    </row>
    <row r="217" spans="1:25" x14ac:dyDescent="0.2">
      <c r="A217" s="219">
        <v>156</v>
      </c>
      <c r="B217" s="36"/>
      <c r="C217" s="9" t="s">
        <v>265</v>
      </c>
      <c r="D217" s="9"/>
      <c r="E217" s="18" t="s">
        <v>246</v>
      </c>
      <c r="F217" s="155" t="s">
        <v>258</v>
      </c>
      <c r="G217" s="294">
        <f>+'Rev &amp; Exp Assumptions'!D27</f>
        <v>1535.2190934065934</v>
      </c>
      <c r="H217" s="269" t="s">
        <v>262</v>
      </c>
      <c r="I217" s="379"/>
      <c r="J217" s="379"/>
      <c r="K217" s="379"/>
      <c r="L217" s="379"/>
      <c r="M217" s="379"/>
      <c r="N217" s="379"/>
      <c r="O217" s="379"/>
      <c r="P217" s="379"/>
      <c r="Q217" s="379"/>
      <c r="R217" s="379"/>
      <c r="S217" s="379"/>
      <c r="T217" s="379"/>
      <c r="U217" s="101"/>
      <c r="V217" s="101"/>
      <c r="W217" s="101"/>
      <c r="X217" s="101"/>
      <c r="Y217" s="101"/>
    </row>
    <row r="218" spans="1:25" x14ac:dyDescent="0.2">
      <c r="A218" s="219">
        <v>157</v>
      </c>
      <c r="B218" s="36"/>
      <c r="C218" s="9" t="s">
        <v>182</v>
      </c>
      <c r="D218" s="9"/>
      <c r="E218" s="18" t="s">
        <v>183</v>
      </c>
      <c r="F218" s="155" t="s">
        <v>258</v>
      </c>
      <c r="G218" s="294"/>
      <c r="H218" s="260"/>
      <c r="I218" s="379"/>
      <c r="J218" s="379"/>
      <c r="K218" s="379"/>
      <c r="L218" s="379"/>
      <c r="M218" s="379"/>
      <c r="N218" s="379"/>
      <c r="O218" s="379"/>
      <c r="P218" s="379"/>
      <c r="Q218" s="379"/>
      <c r="R218" s="379"/>
      <c r="S218" s="379"/>
      <c r="T218" s="379"/>
      <c r="U218" s="101"/>
      <c r="V218" s="101"/>
      <c r="W218" s="101"/>
      <c r="X218" s="101"/>
      <c r="Y218" s="101"/>
    </row>
    <row r="219" spans="1:25" x14ac:dyDescent="0.2">
      <c r="A219" s="219">
        <v>158</v>
      </c>
      <c r="B219" s="36"/>
      <c r="C219" s="9" t="s">
        <v>184</v>
      </c>
      <c r="D219" s="9"/>
      <c r="E219" s="18" t="s">
        <v>185</v>
      </c>
      <c r="F219" s="155" t="s">
        <v>266</v>
      </c>
      <c r="G219" s="294">
        <v>14770.08</v>
      </c>
      <c r="H219" s="269" t="s">
        <v>162</v>
      </c>
      <c r="I219" s="379"/>
      <c r="J219" s="379"/>
      <c r="K219" s="379"/>
      <c r="L219" s="379"/>
      <c r="M219" s="379"/>
      <c r="N219" s="379"/>
      <c r="O219" s="379"/>
      <c r="P219" s="379"/>
      <c r="Q219" s="379"/>
      <c r="R219" s="379"/>
      <c r="S219" s="379"/>
      <c r="T219" s="379"/>
      <c r="U219" s="101"/>
      <c r="V219" s="101"/>
      <c r="W219" s="101"/>
      <c r="X219" s="101"/>
      <c r="Y219" s="101"/>
    </row>
    <row r="220" spans="1:25" x14ac:dyDescent="0.2">
      <c r="A220" s="219">
        <v>159</v>
      </c>
      <c r="B220" s="36"/>
      <c r="C220" s="9" t="s">
        <v>186</v>
      </c>
      <c r="D220" s="9"/>
      <c r="E220" s="18" t="s">
        <v>187</v>
      </c>
      <c r="F220" s="155" t="s">
        <v>266</v>
      </c>
      <c r="G220" s="294">
        <v>15965</v>
      </c>
      <c r="H220" s="269" t="s">
        <v>162</v>
      </c>
      <c r="I220" s="379"/>
      <c r="J220" s="379"/>
      <c r="K220" s="379"/>
      <c r="L220" s="379"/>
      <c r="M220" s="379"/>
      <c r="N220" s="379"/>
      <c r="O220" s="379"/>
      <c r="P220" s="379"/>
      <c r="Q220" s="379"/>
      <c r="R220" s="379"/>
      <c r="S220" s="379"/>
      <c r="T220" s="379"/>
      <c r="U220" s="101"/>
      <c r="V220" s="101"/>
      <c r="W220" s="101"/>
      <c r="X220" s="101"/>
      <c r="Y220" s="101"/>
    </row>
    <row r="221" spans="1:25" x14ac:dyDescent="0.2">
      <c r="A221" s="219">
        <v>160</v>
      </c>
      <c r="B221" s="36"/>
      <c r="C221" s="9" t="s">
        <v>188</v>
      </c>
      <c r="D221" s="9"/>
      <c r="E221" s="18" t="s">
        <v>189</v>
      </c>
      <c r="F221" s="155" t="s">
        <v>266</v>
      </c>
      <c r="G221" s="294">
        <v>3733.75</v>
      </c>
      <c r="H221" s="269" t="s">
        <v>162</v>
      </c>
      <c r="I221" s="379"/>
      <c r="J221" s="379"/>
      <c r="K221" s="379"/>
      <c r="L221" s="379"/>
      <c r="M221" s="379"/>
      <c r="N221" s="379"/>
      <c r="O221" s="379"/>
      <c r="P221" s="379"/>
      <c r="Q221" s="379"/>
      <c r="R221" s="379"/>
      <c r="S221" s="379"/>
      <c r="T221" s="379"/>
      <c r="U221" s="101"/>
      <c r="V221" s="101"/>
      <c r="W221" s="101"/>
      <c r="X221" s="101"/>
      <c r="Y221" s="101"/>
    </row>
    <row r="222" spans="1:25" x14ac:dyDescent="0.2">
      <c r="A222" s="219">
        <v>161</v>
      </c>
      <c r="B222" s="36"/>
      <c r="C222" s="9" t="s">
        <v>190</v>
      </c>
      <c r="D222" s="9"/>
      <c r="E222" s="18" t="s">
        <v>191</v>
      </c>
      <c r="F222" s="155" t="s">
        <v>266</v>
      </c>
      <c r="G222" s="294">
        <v>12875</v>
      </c>
      <c r="H222" s="269" t="s">
        <v>162</v>
      </c>
      <c r="I222" s="379"/>
      <c r="J222" s="379"/>
      <c r="K222" s="379"/>
      <c r="L222" s="379"/>
      <c r="M222" s="379"/>
      <c r="N222" s="379"/>
      <c r="O222" s="379"/>
      <c r="P222" s="379"/>
      <c r="Q222" s="379"/>
      <c r="R222" s="379"/>
      <c r="S222" s="379"/>
      <c r="T222" s="379"/>
      <c r="U222" s="101"/>
      <c r="V222" s="101"/>
      <c r="W222" s="101"/>
      <c r="X222" s="101"/>
      <c r="Y222" s="101"/>
    </row>
    <row r="223" spans="1:25" x14ac:dyDescent="0.2">
      <c r="A223" s="219">
        <v>162</v>
      </c>
      <c r="B223" s="36"/>
      <c r="C223" s="9" t="s">
        <v>192</v>
      </c>
      <c r="D223" s="9"/>
      <c r="E223" s="18" t="s">
        <v>193</v>
      </c>
      <c r="F223" s="155" t="s">
        <v>266</v>
      </c>
      <c r="G223" s="294"/>
      <c r="H223" s="269"/>
      <c r="I223" s="379"/>
      <c r="J223" s="379"/>
      <c r="K223" s="379"/>
      <c r="L223" s="379"/>
      <c r="M223" s="379"/>
      <c r="N223" s="379"/>
      <c r="O223" s="379"/>
      <c r="P223" s="379"/>
      <c r="Q223" s="379"/>
      <c r="R223" s="379"/>
      <c r="S223" s="379"/>
      <c r="T223" s="379"/>
      <c r="U223" s="101"/>
      <c r="V223" s="101"/>
      <c r="W223" s="101"/>
      <c r="X223" s="101"/>
      <c r="Y223" s="101"/>
    </row>
    <row r="224" spans="1:25" x14ac:dyDescent="0.2">
      <c r="A224" s="219">
        <v>163</v>
      </c>
      <c r="B224" s="36"/>
      <c r="C224" s="9" t="s">
        <v>194</v>
      </c>
      <c r="D224" s="9"/>
      <c r="E224" s="18" t="s">
        <v>195</v>
      </c>
      <c r="F224" s="155" t="s">
        <v>266</v>
      </c>
      <c r="G224" s="294"/>
      <c r="H224" s="269"/>
      <c r="I224" s="379"/>
      <c r="J224" s="379"/>
      <c r="K224" s="379"/>
      <c r="L224" s="379"/>
      <c r="M224" s="379"/>
      <c r="N224" s="379"/>
      <c r="O224" s="379"/>
      <c r="P224" s="379"/>
      <c r="Q224" s="379"/>
      <c r="R224" s="379"/>
      <c r="S224" s="379"/>
      <c r="T224" s="379"/>
      <c r="U224" s="101"/>
      <c r="V224" s="101"/>
      <c r="W224" s="101"/>
      <c r="X224" s="101"/>
      <c r="Y224" s="101"/>
    </row>
    <row r="225" spans="1:25" x14ac:dyDescent="0.2">
      <c r="A225" s="219">
        <v>164</v>
      </c>
      <c r="B225" s="36"/>
      <c r="C225" s="85" t="s">
        <v>196</v>
      </c>
      <c r="D225" s="9"/>
      <c r="E225" s="18"/>
      <c r="F225" s="155"/>
      <c r="G225" s="294"/>
      <c r="H225" s="260"/>
      <c r="I225" s="379"/>
      <c r="J225" s="379"/>
      <c r="K225" s="379"/>
      <c r="L225" s="379"/>
      <c r="M225" s="379"/>
      <c r="N225" s="379"/>
      <c r="O225" s="379"/>
      <c r="P225" s="379"/>
      <c r="Q225" s="379"/>
      <c r="R225" s="379"/>
      <c r="S225" s="379"/>
      <c r="T225" s="379"/>
      <c r="U225" s="101"/>
      <c r="V225" s="101"/>
      <c r="W225" s="101"/>
      <c r="X225" s="101"/>
      <c r="Y225" s="101"/>
    </row>
    <row r="226" spans="1:25" x14ac:dyDescent="0.2">
      <c r="A226" s="219">
        <v>165</v>
      </c>
      <c r="B226" s="36"/>
      <c r="C226" s="85"/>
      <c r="D226" s="9"/>
      <c r="E226" s="18"/>
      <c r="F226" s="155"/>
      <c r="G226" s="294"/>
      <c r="H226" s="260"/>
      <c r="I226" s="379"/>
      <c r="J226" s="379"/>
      <c r="K226" s="379"/>
      <c r="L226" s="379"/>
      <c r="M226" s="379"/>
      <c r="N226" s="379"/>
      <c r="O226" s="379"/>
      <c r="P226" s="379"/>
      <c r="Q226" s="379"/>
      <c r="R226" s="379"/>
      <c r="S226" s="379"/>
      <c r="T226" s="379"/>
      <c r="U226" s="101"/>
      <c r="V226" s="101"/>
      <c r="W226" s="101"/>
      <c r="X226" s="101"/>
      <c r="Y226" s="101"/>
    </row>
    <row r="227" spans="1:25" x14ac:dyDescent="0.2">
      <c r="A227" s="219">
        <v>166</v>
      </c>
      <c r="B227" s="83"/>
      <c r="D227" s="13"/>
      <c r="E227" s="14"/>
      <c r="F227" s="163"/>
      <c r="G227" s="306"/>
      <c r="H227" s="275"/>
      <c r="I227" s="379"/>
      <c r="J227" s="379"/>
      <c r="K227" s="379"/>
      <c r="L227" s="379"/>
      <c r="M227" s="379"/>
      <c r="N227" s="379"/>
      <c r="O227" s="379"/>
      <c r="P227" s="379"/>
      <c r="Q227" s="379"/>
      <c r="R227" s="379"/>
      <c r="S227" s="379"/>
      <c r="T227" s="379"/>
      <c r="U227" s="101"/>
      <c r="V227" s="101"/>
      <c r="W227" s="101"/>
      <c r="X227" s="101"/>
      <c r="Y227" s="101"/>
    </row>
    <row r="228" spans="1:25" ht="15" x14ac:dyDescent="0.25">
      <c r="A228" s="220">
        <v>167</v>
      </c>
      <c r="B228" s="87" t="s">
        <v>267</v>
      </c>
      <c r="C228" s="51"/>
      <c r="D228" s="51"/>
      <c r="E228" s="49"/>
      <c r="F228" s="159"/>
      <c r="G228" s="297">
        <f>SUM(G206:G227)</f>
        <v>561437.3019100636</v>
      </c>
      <c r="H228" s="263"/>
      <c r="I228" s="379"/>
      <c r="J228" s="379"/>
      <c r="K228" s="379"/>
      <c r="L228" s="379"/>
      <c r="M228" s="379"/>
      <c r="N228" s="379"/>
      <c r="O228" s="379"/>
      <c r="P228" s="379"/>
      <c r="Q228" s="379"/>
      <c r="R228" s="379"/>
      <c r="S228" s="379"/>
      <c r="T228" s="379"/>
      <c r="U228" s="101"/>
      <c r="V228" s="101"/>
      <c r="W228" s="101"/>
      <c r="X228" s="101"/>
      <c r="Y228" s="101"/>
    </row>
    <row r="229" spans="1:25" ht="6.75" customHeight="1" x14ac:dyDescent="0.2">
      <c r="A229" s="224"/>
      <c r="B229" s="35"/>
      <c r="C229" s="12"/>
      <c r="D229" s="12"/>
      <c r="E229" s="16"/>
      <c r="F229" s="167"/>
      <c r="G229" s="310"/>
      <c r="H229" s="280"/>
      <c r="I229" s="379"/>
      <c r="J229" s="379"/>
      <c r="K229" s="379"/>
      <c r="L229" s="379"/>
      <c r="M229" s="379"/>
      <c r="N229" s="379"/>
      <c r="O229" s="379"/>
      <c r="P229" s="379"/>
      <c r="Q229" s="379"/>
      <c r="R229" s="379"/>
      <c r="S229" s="379"/>
      <c r="T229" s="379"/>
      <c r="U229" s="101"/>
      <c r="V229" s="101"/>
      <c r="W229" s="101"/>
      <c r="X229" s="101"/>
      <c r="Y229" s="101"/>
    </row>
    <row r="230" spans="1:25" s="4" customFormat="1" ht="15" x14ac:dyDescent="0.25">
      <c r="A230" s="219"/>
      <c r="B230" s="88" t="s">
        <v>268</v>
      </c>
      <c r="C230" s="53"/>
      <c r="D230" s="53"/>
      <c r="E230" s="63"/>
      <c r="F230" s="164"/>
      <c r="G230" s="307"/>
      <c r="H230" s="276"/>
      <c r="I230" s="236"/>
      <c r="J230" s="236"/>
      <c r="K230" s="236"/>
      <c r="L230" s="236"/>
      <c r="M230" s="236"/>
      <c r="N230" s="236"/>
      <c r="O230" s="236"/>
      <c r="P230" s="236"/>
      <c r="Q230" s="236"/>
      <c r="R230" s="236"/>
      <c r="S230" s="236"/>
      <c r="T230" s="236"/>
      <c r="U230" s="233"/>
      <c r="V230" s="233"/>
      <c r="W230" s="233"/>
      <c r="X230" s="233"/>
      <c r="Y230" s="233"/>
    </row>
    <row r="231" spans="1:25" x14ac:dyDescent="0.2">
      <c r="A231" s="219"/>
      <c r="B231" s="36">
        <v>90</v>
      </c>
      <c r="C231" s="9" t="s">
        <v>269</v>
      </c>
      <c r="D231" s="9"/>
      <c r="E231" s="67"/>
      <c r="F231" s="168"/>
      <c r="G231" s="311"/>
      <c r="H231" s="281"/>
      <c r="I231" s="379"/>
      <c r="J231" s="379"/>
      <c r="K231" s="379"/>
      <c r="L231" s="379"/>
      <c r="M231" s="379"/>
      <c r="N231" s="379"/>
      <c r="O231" s="379"/>
      <c r="P231" s="379"/>
      <c r="Q231" s="379"/>
      <c r="R231" s="379"/>
      <c r="S231" s="379"/>
      <c r="T231" s="379"/>
      <c r="U231" s="101"/>
      <c r="V231" s="101"/>
      <c r="W231" s="101"/>
      <c r="X231" s="101"/>
      <c r="Y231" s="101"/>
    </row>
    <row r="232" spans="1:25" x14ac:dyDescent="0.2">
      <c r="A232" s="219"/>
      <c r="B232" s="36"/>
      <c r="C232" s="9" t="s">
        <v>270</v>
      </c>
      <c r="D232" s="9"/>
      <c r="E232" s="71"/>
      <c r="F232" s="153"/>
      <c r="G232" s="292"/>
      <c r="H232" s="258"/>
      <c r="I232" s="379"/>
      <c r="J232" s="379"/>
      <c r="K232" s="379"/>
      <c r="L232" s="379"/>
      <c r="M232" s="379"/>
      <c r="N232" s="379"/>
      <c r="O232" s="379"/>
      <c r="P232" s="379"/>
      <c r="Q232" s="379"/>
      <c r="R232" s="379"/>
      <c r="S232" s="379"/>
      <c r="T232" s="379"/>
      <c r="U232" s="101"/>
      <c r="V232" s="101"/>
      <c r="W232" s="101"/>
      <c r="X232" s="101"/>
      <c r="Y232" s="101"/>
    </row>
    <row r="233" spans="1:25" x14ac:dyDescent="0.2">
      <c r="A233" s="219">
        <v>168</v>
      </c>
      <c r="B233" s="36"/>
      <c r="C233" s="9" t="s">
        <v>271</v>
      </c>
      <c r="D233" s="9" t="s">
        <v>160</v>
      </c>
      <c r="E233" s="18" t="s">
        <v>272</v>
      </c>
      <c r="F233" s="155" t="s">
        <v>273</v>
      </c>
      <c r="G233" s="294">
        <v>40000</v>
      </c>
      <c r="H233" s="269" t="s">
        <v>162</v>
      </c>
      <c r="I233" s="379"/>
      <c r="J233" s="379"/>
      <c r="K233" s="379"/>
      <c r="L233" s="379"/>
      <c r="M233" s="379"/>
      <c r="N233" s="379"/>
      <c r="O233" s="379"/>
      <c r="P233" s="379"/>
      <c r="Q233" s="379"/>
      <c r="R233" s="379"/>
      <c r="S233" s="379"/>
      <c r="T233" s="379"/>
      <c r="U233" s="101"/>
      <c r="V233" s="101"/>
      <c r="W233" s="101"/>
      <c r="X233" s="101"/>
      <c r="Y233" s="101"/>
    </row>
    <row r="234" spans="1:25" x14ac:dyDescent="0.2">
      <c r="A234" s="219">
        <v>169</v>
      </c>
      <c r="B234" s="36"/>
      <c r="C234" s="9"/>
      <c r="D234" s="9" t="s">
        <v>168</v>
      </c>
      <c r="E234" s="18" t="s">
        <v>169</v>
      </c>
      <c r="F234" s="155" t="s">
        <v>274</v>
      </c>
      <c r="G234" s="294">
        <f>+'Rev &amp; Exp Assumptions'!D40+'Rev &amp; Exp Assumptions'!D55</f>
        <v>25459.182449392712</v>
      </c>
      <c r="H234" s="269" t="s">
        <v>275</v>
      </c>
      <c r="I234" s="379"/>
      <c r="K234" s="379"/>
      <c r="L234" s="379"/>
      <c r="M234" s="379"/>
      <c r="N234" s="379"/>
      <c r="O234" s="379"/>
      <c r="P234" s="379"/>
      <c r="Q234" s="379"/>
      <c r="R234" s="379"/>
      <c r="S234" s="379"/>
      <c r="T234" s="379"/>
      <c r="U234" s="101"/>
      <c r="V234" s="101"/>
      <c r="W234" s="101"/>
      <c r="X234" s="101"/>
      <c r="Y234" s="101"/>
    </row>
    <row r="235" spans="1:25" x14ac:dyDescent="0.2">
      <c r="A235" s="219">
        <v>170</v>
      </c>
      <c r="B235" s="36"/>
      <c r="C235" s="9"/>
      <c r="D235" s="9" t="s">
        <v>276</v>
      </c>
      <c r="E235" s="18" t="s">
        <v>277</v>
      </c>
      <c r="F235" s="155" t="s">
        <v>274</v>
      </c>
      <c r="G235" s="294">
        <f>+'Rev &amp; Exp Assumptions'!D20</f>
        <v>912.47149725274721</v>
      </c>
      <c r="H235" s="269" t="s">
        <v>262</v>
      </c>
      <c r="I235" s="379"/>
      <c r="J235" s="379"/>
      <c r="K235" s="379"/>
      <c r="L235" s="379"/>
      <c r="M235" s="379"/>
      <c r="N235" s="379"/>
      <c r="O235" s="379"/>
      <c r="P235" s="379"/>
      <c r="Q235" s="379"/>
      <c r="R235" s="379"/>
      <c r="S235" s="379"/>
      <c r="T235" s="379"/>
      <c r="U235" s="101"/>
      <c r="V235" s="101"/>
      <c r="W235" s="101"/>
      <c r="X235" s="101"/>
      <c r="Y235" s="101"/>
    </row>
    <row r="236" spans="1:25" x14ac:dyDescent="0.2">
      <c r="A236" s="219">
        <v>171</v>
      </c>
      <c r="B236" s="36"/>
      <c r="C236" s="9"/>
      <c r="D236" s="9" t="s">
        <v>171</v>
      </c>
      <c r="E236" s="18" t="s">
        <v>172</v>
      </c>
      <c r="F236" s="155" t="s">
        <v>274</v>
      </c>
      <c r="G236" s="294"/>
      <c r="H236" s="260"/>
      <c r="I236" s="379"/>
      <c r="J236" s="379"/>
      <c r="K236" s="379"/>
      <c r="L236" s="379"/>
      <c r="M236" s="379"/>
      <c r="N236" s="379"/>
      <c r="O236" s="379"/>
      <c r="P236" s="379"/>
      <c r="Q236" s="379"/>
      <c r="R236" s="379"/>
      <c r="S236" s="379"/>
      <c r="T236" s="379"/>
      <c r="U236" s="101"/>
      <c r="V236" s="101"/>
      <c r="W236" s="101"/>
      <c r="X236" s="101"/>
      <c r="Y236" s="101"/>
    </row>
    <row r="237" spans="1:25" x14ac:dyDescent="0.2">
      <c r="A237" s="219">
        <v>172</v>
      </c>
      <c r="B237" s="36"/>
      <c r="C237" s="9"/>
      <c r="D237" s="9" t="s">
        <v>260</v>
      </c>
      <c r="E237" s="18" t="s">
        <v>261</v>
      </c>
      <c r="F237" s="155" t="s">
        <v>274</v>
      </c>
      <c r="G237" s="294"/>
      <c r="H237" s="260"/>
      <c r="I237" s="379"/>
      <c r="J237" s="379"/>
      <c r="K237" s="379"/>
      <c r="L237" s="379"/>
      <c r="M237" s="379"/>
      <c r="N237" s="379"/>
      <c r="O237" s="379"/>
      <c r="P237" s="379"/>
      <c r="Q237" s="379"/>
      <c r="R237" s="379"/>
      <c r="S237" s="379"/>
      <c r="T237" s="379"/>
      <c r="U237" s="101"/>
      <c r="V237" s="101"/>
      <c r="W237" s="101"/>
      <c r="X237" s="101"/>
      <c r="Y237" s="101"/>
    </row>
    <row r="238" spans="1:25" x14ac:dyDescent="0.2">
      <c r="A238" s="219">
        <v>173</v>
      </c>
      <c r="B238" s="36"/>
      <c r="C238" s="9"/>
      <c r="D238" s="9" t="s">
        <v>278</v>
      </c>
      <c r="E238" s="18" t="s">
        <v>264</v>
      </c>
      <c r="F238" s="155" t="s">
        <v>274</v>
      </c>
      <c r="G238" s="294">
        <f>+'Rev &amp; Exp Assumptions'!D28</f>
        <v>917.67599587912093</v>
      </c>
      <c r="H238" s="269" t="s">
        <v>262</v>
      </c>
      <c r="I238" s="379"/>
      <c r="J238" s="379"/>
      <c r="K238" s="379"/>
      <c r="L238" s="379"/>
      <c r="M238" s="379"/>
      <c r="N238" s="379"/>
      <c r="O238" s="379"/>
      <c r="P238" s="379"/>
      <c r="Q238" s="379"/>
      <c r="R238" s="379"/>
      <c r="S238" s="379"/>
      <c r="T238" s="379"/>
      <c r="U238" s="101"/>
      <c r="V238" s="101"/>
      <c r="W238" s="101"/>
      <c r="X238" s="101"/>
      <c r="Y238" s="101"/>
    </row>
    <row r="239" spans="1:25" x14ac:dyDescent="0.2">
      <c r="A239" s="219">
        <v>174</v>
      </c>
      <c r="B239" s="36"/>
      <c r="C239" s="9"/>
      <c r="D239" s="9" t="s">
        <v>51</v>
      </c>
      <c r="E239" s="18" t="s">
        <v>243</v>
      </c>
      <c r="F239" s="155" t="s">
        <v>274</v>
      </c>
      <c r="G239" s="294"/>
      <c r="H239" s="260"/>
      <c r="I239" s="379"/>
      <c r="J239" s="379"/>
      <c r="K239" s="379"/>
      <c r="L239" s="379"/>
      <c r="M239" s="379"/>
      <c r="N239" s="379"/>
      <c r="O239" s="379"/>
      <c r="P239" s="379"/>
      <c r="Q239" s="379"/>
      <c r="R239" s="379"/>
      <c r="S239" s="379"/>
      <c r="T239" s="379"/>
      <c r="U239" s="101"/>
      <c r="V239" s="101"/>
      <c r="W239" s="101"/>
      <c r="X239" s="101"/>
      <c r="Y239" s="101"/>
    </row>
    <row r="240" spans="1:25" x14ac:dyDescent="0.2">
      <c r="A240" s="219">
        <v>175</v>
      </c>
      <c r="B240" s="36"/>
      <c r="C240" s="9"/>
      <c r="D240" s="9" t="s">
        <v>173</v>
      </c>
      <c r="E240" s="18" t="s">
        <v>174</v>
      </c>
      <c r="F240" s="155" t="s">
        <v>274</v>
      </c>
      <c r="G240" s="294"/>
      <c r="H240" s="260"/>
      <c r="I240" s="379"/>
      <c r="J240" s="379"/>
      <c r="K240" s="379"/>
      <c r="L240" s="379"/>
      <c r="M240" s="379"/>
      <c r="N240" s="379"/>
      <c r="O240" s="379"/>
      <c r="P240" s="379"/>
      <c r="Q240" s="379"/>
      <c r="R240" s="379"/>
      <c r="S240" s="379"/>
      <c r="T240" s="379"/>
      <c r="U240" s="101"/>
      <c r="V240" s="101"/>
      <c r="W240" s="101"/>
      <c r="X240" s="101"/>
      <c r="Y240" s="101"/>
    </row>
    <row r="241" spans="1:25" x14ac:dyDescent="0.2">
      <c r="A241" s="219">
        <v>176</v>
      </c>
      <c r="B241" s="36"/>
      <c r="C241" s="9"/>
      <c r="D241" s="9" t="s">
        <v>207</v>
      </c>
      <c r="E241" s="18" t="s">
        <v>177</v>
      </c>
      <c r="F241" s="155" t="s">
        <v>274</v>
      </c>
      <c r="G241" s="294"/>
      <c r="H241" s="260"/>
      <c r="I241" s="379"/>
      <c r="J241" s="379"/>
      <c r="K241" s="379"/>
      <c r="L241" s="379"/>
      <c r="M241" s="379"/>
      <c r="N241" s="379"/>
      <c r="O241" s="379"/>
      <c r="P241" s="379"/>
      <c r="Q241" s="379"/>
      <c r="R241" s="379"/>
      <c r="S241" s="379"/>
      <c r="T241" s="379"/>
      <c r="U241" s="101"/>
      <c r="V241" s="101"/>
      <c r="W241" s="101"/>
      <c r="X241" s="101"/>
      <c r="Y241" s="101"/>
    </row>
    <row r="242" spans="1:25" x14ac:dyDescent="0.2">
      <c r="A242" s="219">
        <v>177</v>
      </c>
      <c r="B242" s="36"/>
      <c r="C242" s="9"/>
      <c r="D242" s="9" t="s">
        <v>180</v>
      </c>
      <c r="E242" s="18" t="s">
        <v>181</v>
      </c>
      <c r="F242" s="155" t="s">
        <v>274</v>
      </c>
      <c r="G242" s="294"/>
      <c r="H242" s="260"/>
      <c r="I242" s="379"/>
      <c r="J242" s="379"/>
      <c r="K242" s="379"/>
      <c r="L242" s="379"/>
      <c r="M242" s="379"/>
      <c r="N242" s="379"/>
      <c r="O242" s="379"/>
      <c r="P242" s="379"/>
      <c r="Q242" s="379"/>
      <c r="R242" s="379"/>
      <c r="S242" s="379"/>
      <c r="T242" s="379"/>
      <c r="U242" s="101"/>
      <c r="V242" s="101"/>
      <c r="W242" s="101"/>
      <c r="X242" s="101"/>
      <c r="Y242" s="101"/>
    </row>
    <row r="243" spans="1:25" x14ac:dyDescent="0.2">
      <c r="A243" s="219">
        <v>178</v>
      </c>
      <c r="B243" s="36"/>
      <c r="C243" s="9"/>
      <c r="D243" s="9" t="s">
        <v>279</v>
      </c>
      <c r="E243" s="18" t="s">
        <v>280</v>
      </c>
      <c r="F243" s="155" t="s">
        <v>281</v>
      </c>
      <c r="G243" s="294"/>
      <c r="H243" s="260"/>
      <c r="I243" s="379"/>
      <c r="J243" s="379"/>
      <c r="K243" s="379"/>
      <c r="L243" s="379"/>
      <c r="M243" s="379"/>
      <c r="N243" s="379"/>
      <c r="O243" s="379"/>
      <c r="P243" s="379"/>
      <c r="Q243" s="379"/>
      <c r="R243" s="379"/>
      <c r="S243" s="379"/>
      <c r="T243" s="379"/>
      <c r="U243" s="101"/>
      <c r="V243" s="101"/>
      <c r="W243" s="101"/>
      <c r="X243" s="101"/>
      <c r="Y243" s="101"/>
    </row>
    <row r="244" spans="1:25" x14ac:dyDescent="0.2">
      <c r="A244" s="219">
        <v>179</v>
      </c>
      <c r="B244" s="36"/>
      <c r="C244" s="9"/>
      <c r="D244" s="9" t="s">
        <v>182</v>
      </c>
      <c r="E244" s="18" t="s">
        <v>183</v>
      </c>
      <c r="F244" s="155" t="s">
        <v>274</v>
      </c>
      <c r="G244" s="294"/>
      <c r="H244" s="260"/>
      <c r="I244" s="379"/>
      <c r="J244" s="379"/>
      <c r="K244" s="379"/>
      <c r="L244" s="379"/>
      <c r="M244" s="379"/>
      <c r="N244" s="379"/>
      <c r="O244" s="379"/>
      <c r="P244" s="379"/>
      <c r="Q244" s="379"/>
      <c r="R244" s="379"/>
      <c r="S244" s="379"/>
      <c r="T244" s="379"/>
      <c r="U244" s="101"/>
      <c r="V244" s="101"/>
      <c r="W244" s="101"/>
      <c r="X244" s="101"/>
      <c r="Y244" s="101"/>
    </row>
    <row r="245" spans="1:25" x14ac:dyDescent="0.2">
      <c r="A245" s="219">
        <v>180</v>
      </c>
      <c r="B245" s="36"/>
      <c r="C245" s="9"/>
      <c r="D245" s="9" t="s">
        <v>184</v>
      </c>
      <c r="E245" s="18" t="s">
        <v>185</v>
      </c>
      <c r="F245" s="155" t="s">
        <v>273</v>
      </c>
      <c r="G245" s="294">
        <v>3692.52</v>
      </c>
      <c r="H245" s="269" t="s">
        <v>162</v>
      </c>
      <c r="I245" s="379"/>
      <c r="J245" s="379"/>
      <c r="K245" s="379"/>
      <c r="L245" s="379"/>
      <c r="M245" s="379"/>
      <c r="N245" s="379"/>
      <c r="O245" s="379"/>
      <c r="P245" s="379"/>
      <c r="Q245" s="379"/>
      <c r="R245" s="379"/>
      <c r="S245" s="379"/>
      <c r="T245" s="379"/>
      <c r="U245" s="101"/>
      <c r="V245" s="101"/>
      <c r="W245" s="101"/>
      <c r="X245" s="101"/>
      <c r="Y245" s="101"/>
    </row>
    <row r="246" spans="1:25" x14ac:dyDescent="0.2">
      <c r="A246" s="219">
        <v>181</v>
      </c>
      <c r="B246" s="36"/>
      <c r="C246" s="9"/>
      <c r="D246" s="9" t="s">
        <v>186</v>
      </c>
      <c r="E246" s="18" t="s">
        <v>187</v>
      </c>
      <c r="F246" s="155" t="s">
        <v>273</v>
      </c>
      <c r="G246" s="294">
        <v>2480</v>
      </c>
      <c r="H246" s="269" t="s">
        <v>162</v>
      </c>
      <c r="I246" s="379"/>
      <c r="J246" s="379"/>
      <c r="K246" s="379"/>
      <c r="L246" s="379"/>
      <c r="M246" s="379"/>
      <c r="N246" s="379"/>
      <c r="O246" s="379"/>
      <c r="P246" s="379"/>
      <c r="Q246" s="379"/>
      <c r="R246" s="379"/>
      <c r="S246" s="379"/>
      <c r="T246" s="379"/>
      <c r="U246" s="101"/>
      <c r="V246" s="101"/>
      <c r="W246" s="101"/>
      <c r="X246" s="101"/>
      <c r="Y246" s="101"/>
    </row>
    <row r="247" spans="1:25" x14ac:dyDescent="0.2">
      <c r="A247" s="219">
        <v>182</v>
      </c>
      <c r="B247" s="36"/>
      <c r="C247" s="9"/>
      <c r="D247" s="9" t="s">
        <v>188</v>
      </c>
      <c r="E247" s="18" t="s">
        <v>189</v>
      </c>
      <c r="F247" s="155" t="s">
        <v>273</v>
      </c>
      <c r="G247" s="294">
        <v>580</v>
      </c>
      <c r="H247" s="269" t="s">
        <v>162</v>
      </c>
      <c r="I247" s="379"/>
      <c r="J247" s="379"/>
      <c r="K247" s="379"/>
      <c r="L247" s="379"/>
      <c r="M247" s="379"/>
      <c r="N247" s="379"/>
      <c r="O247" s="379"/>
      <c r="P247" s="379"/>
      <c r="Q247" s="379"/>
      <c r="R247" s="379"/>
      <c r="S247" s="379"/>
      <c r="T247" s="379"/>
      <c r="U247" s="101"/>
      <c r="V247" s="101"/>
      <c r="W247" s="101"/>
      <c r="X247" s="101"/>
      <c r="Y247" s="101"/>
    </row>
    <row r="248" spans="1:25" x14ac:dyDescent="0.2">
      <c r="A248" s="219">
        <v>183</v>
      </c>
      <c r="B248" s="36"/>
      <c r="C248" s="9"/>
      <c r="D248" s="9" t="s">
        <v>190</v>
      </c>
      <c r="E248" s="18" t="s">
        <v>191</v>
      </c>
      <c r="F248" s="155" t="s">
        <v>273</v>
      </c>
      <c r="G248" s="294">
        <v>2000</v>
      </c>
      <c r="H248" s="269" t="s">
        <v>162</v>
      </c>
      <c r="I248" s="379"/>
      <c r="J248" s="379"/>
      <c r="K248" s="379"/>
      <c r="L248" s="379"/>
      <c r="M248" s="379"/>
      <c r="N248" s="379"/>
      <c r="O248" s="379"/>
      <c r="P248" s="379"/>
      <c r="Q248" s="379"/>
      <c r="R248" s="379"/>
      <c r="S248" s="379"/>
      <c r="T248" s="379"/>
      <c r="U248" s="101"/>
      <c r="V248" s="101"/>
      <c r="W248" s="101"/>
      <c r="X248" s="101"/>
      <c r="Y248" s="101"/>
    </row>
    <row r="249" spans="1:25" x14ac:dyDescent="0.2">
      <c r="A249" s="219">
        <v>184</v>
      </c>
      <c r="B249" s="36"/>
      <c r="C249" s="9"/>
      <c r="D249" s="9" t="s">
        <v>192</v>
      </c>
      <c r="E249" s="18" t="s">
        <v>193</v>
      </c>
      <c r="F249" s="155" t="s">
        <v>273</v>
      </c>
      <c r="G249" s="294"/>
      <c r="H249" s="260"/>
      <c r="I249" s="379"/>
      <c r="J249" s="379"/>
      <c r="K249" s="379"/>
      <c r="L249" s="379"/>
      <c r="M249" s="379"/>
      <c r="N249" s="379"/>
      <c r="O249" s="379"/>
      <c r="P249" s="379"/>
      <c r="Q249" s="379"/>
      <c r="R249" s="379"/>
      <c r="S249" s="379"/>
      <c r="T249" s="379"/>
      <c r="U249" s="101"/>
      <c r="V249" s="101"/>
      <c r="W249" s="101"/>
      <c r="X249" s="101"/>
      <c r="Y249" s="101"/>
    </row>
    <row r="250" spans="1:25" x14ac:dyDescent="0.2">
      <c r="A250" s="219">
        <v>185</v>
      </c>
      <c r="B250" s="36"/>
      <c r="C250" s="9"/>
      <c r="D250" s="9" t="s">
        <v>194</v>
      </c>
      <c r="E250" s="18" t="s">
        <v>195</v>
      </c>
      <c r="F250" s="155" t="s">
        <v>273</v>
      </c>
      <c r="G250" s="294"/>
      <c r="H250" s="260"/>
      <c r="I250" s="379"/>
      <c r="J250" s="379"/>
      <c r="K250" s="379"/>
      <c r="L250" s="379"/>
      <c r="M250" s="379"/>
      <c r="N250" s="379"/>
      <c r="O250" s="379"/>
      <c r="P250" s="379"/>
      <c r="Q250" s="379"/>
      <c r="R250" s="379"/>
      <c r="S250" s="379"/>
      <c r="T250" s="379"/>
      <c r="U250" s="101"/>
      <c r="V250" s="101"/>
      <c r="W250" s="101"/>
      <c r="X250" s="101"/>
      <c r="Y250" s="101"/>
    </row>
    <row r="251" spans="1:25" x14ac:dyDescent="0.2">
      <c r="A251" s="219">
        <v>186</v>
      </c>
      <c r="B251" s="36"/>
      <c r="C251" s="85"/>
      <c r="D251" s="9"/>
      <c r="E251" s="18"/>
      <c r="F251" s="155"/>
      <c r="G251" s="294"/>
      <c r="H251" s="260"/>
      <c r="I251" s="379"/>
      <c r="J251" s="379"/>
      <c r="K251" s="379"/>
      <c r="L251" s="379"/>
      <c r="M251" s="379"/>
      <c r="N251" s="379"/>
      <c r="O251" s="379"/>
      <c r="P251" s="379"/>
      <c r="Q251" s="379"/>
      <c r="R251" s="379"/>
      <c r="S251" s="379"/>
      <c r="T251" s="379"/>
      <c r="U251" s="101"/>
      <c r="V251" s="101"/>
      <c r="W251" s="101"/>
      <c r="X251" s="101"/>
      <c r="Y251" s="101"/>
    </row>
    <row r="252" spans="1:25" x14ac:dyDescent="0.2">
      <c r="A252" s="219">
        <v>187</v>
      </c>
      <c r="B252" s="83"/>
      <c r="D252" s="13"/>
      <c r="E252" s="14"/>
      <c r="F252" s="163"/>
      <c r="G252" s="306"/>
      <c r="H252" s="275"/>
      <c r="I252" s="379"/>
      <c r="J252" s="379"/>
      <c r="K252" s="379"/>
      <c r="L252" s="379"/>
      <c r="M252" s="379"/>
      <c r="N252" s="379"/>
      <c r="O252" s="379"/>
      <c r="P252" s="379"/>
      <c r="Q252" s="379"/>
      <c r="R252" s="379"/>
      <c r="S252" s="379"/>
      <c r="T252" s="379"/>
      <c r="U252" s="101"/>
      <c r="V252" s="101"/>
      <c r="W252" s="101"/>
      <c r="X252" s="101"/>
      <c r="Y252" s="101"/>
    </row>
    <row r="253" spans="1:25" x14ac:dyDescent="0.2">
      <c r="A253" s="220">
        <v>188</v>
      </c>
      <c r="B253" s="87" t="s">
        <v>282</v>
      </c>
      <c r="C253" s="6"/>
      <c r="D253" s="6"/>
      <c r="E253" s="49"/>
      <c r="F253" s="159"/>
      <c r="G253" s="297">
        <f>SUM(G231:G252)</f>
        <v>76041.849942524583</v>
      </c>
      <c r="H253" s="263"/>
      <c r="I253" s="379"/>
      <c r="J253" s="379"/>
      <c r="K253" s="379"/>
      <c r="L253" s="379"/>
      <c r="M253" s="379"/>
      <c r="N253" s="379"/>
      <c r="O253" s="379"/>
      <c r="P253" s="379"/>
      <c r="Q253" s="379"/>
      <c r="R253" s="379"/>
      <c r="S253" s="379"/>
      <c r="T253" s="379"/>
      <c r="U253" s="101"/>
      <c r="V253" s="101"/>
      <c r="W253" s="101"/>
      <c r="X253" s="101"/>
      <c r="Y253" s="101"/>
    </row>
    <row r="254" spans="1:25" x14ac:dyDescent="0.2">
      <c r="A254" s="224"/>
      <c r="B254" s="35"/>
      <c r="C254" s="12"/>
      <c r="D254" s="12"/>
      <c r="E254" s="71"/>
      <c r="F254" s="153"/>
      <c r="G254" s="292"/>
      <c r="H254" s="258"/>
      <c r="I254" s="379"/>
      <c r="J254" s="379"/>
      <c r="K254" s="379"/>
      <c r="L254" s="379"/>
      <c r="M254" s="379"/>
      <c r="N254" s="379"/>
      <c r="O254" s="379"/>
      <c r="P254" s="379"/>
      <c r="Q254" s="379"/>
      <c r="R254" s="379"/>
      <c r="S254" s="379"/>
      <c r="T254" s="379"/>
      <c r="U254" s="101"/>
      <c r="V254" s="101"/>
      <c r="W254" s="101"/>
      <c r="X254" s="101"/>
      <c r="Y254" s="101"/>
    </row>
    <row r="255" spans="1:25" s="4" customFormat="1" ht="15" x14ac:dyDescent="0.25">
      <c r="A255" s="219"/>
      <c r="B255" s="88" t="s">
        <v>283</v>
      </c>
      <c r="C255" s="53"/>
      <c r="D255" s="53"/>
      <c r="E255" s="77"/>
      <c r="F255" s="166"/>
      <c r="G255" s="309"/>
      <c r="H255" s="278"/>
      <c r="I255" s="236"/>
      <c r="J255" s="236"/>
      <c r="K255" s="236"/>
      <c r="L255" s="236"/>
      <c r="M255" s="236"/>
      <c r="N255" s="236"/>
      <c r="O255" s="236"/>
      <c r="P255" s="236"/>
      <c r="Q255" s="236"/>
      <c r="R255" s="236"/>
      <c r="S255" s="236"/>
      <c r="T255" s="236"/>
      <c r="U255" s="233"/>
      <c r="V255" s="233"/>
      <c r="W255" s="233"/>
      <c r="X255" s="233"/>
      <c r="Y255" s="233"/>
    </row>
    <row r="256" spans="1:25" x14ac:dyDescent="0.2">
      <c r="A256" s="219">
        <v>189</v>
      </c>
      <c r="B256" s="36"/>
      <c r="C256" s="9" t="s">
        <v>284</v>
      </c>
      <c r="D256" s="9"/>
      <c r="E256" s="18" t="s">
        <v>272</v>
      </c>
      <c r="F256" s="155" t="s">
        <v>285</v>
      </c>
      <c r="G256" s="294">
        <v>145000</v>
      </c>
      <c r="H256" s="269" t="s">
        <v>162</v>
      </c>
      <c r="I256" s="379"/>
      <c r="J256" s="379"/>
      <c r="K256" s="379"/>
      <c r="L256" s="379"/>
      <c r="M256" s="379"/>
      <c r="N256" s="379"/>
      <c r="O256" s="379"/>
      <c r="P256" s="379"/>
      <c r="Q256" s="379"/>
      <c r="R256" s="379"/>
      <c r="S256" s="379"/>
      <c r="T256" s="379"/>
      <c r="U256" s="101"/>
      <c r="V256" s="101"/>
      <c r="W256" s="101"/>
      <c r="X256" s="101"/>
      <c r="Y256" s="101"/>
    </row>
    <row r="257" spans="1:25" x14ac:dyDescent="0.2">
      <c r="A257" s="219">
        <v>190</v>
      </c>
      <c r="B257" s="36"/>
      <c r="C257" s="9" t="s">
        <v>168</v>
      </c>
      <c r="D257" s="9"/>
      <c r="E257" s="18" t="s">
        <v>169</v>
      </c>
      <c r="F257" s="155" t="s">
        <v>286</v>
      </c>
      <c r="G257" s="294">
        <v>147409</v>
      </c>
      <c r="H257" s="269" t="s">
        <v>287</v>
      </c>
      <c r="I257" s="379"/>
      <c r="J257" s="379"/>
      <c r="K257" s="379"/>
      <c r="L257" s="379"/>
      <c r="M257" s="379"/>
      <c r="N257" s="379"/>
      <c r="O257" s="379"/>
      <c r="P257" s="379"/>
      <c r="Q257" s="379"/>
      <c r="R257" s="379"/>
      <c r="S257" s="379"/>
      <c r="T257" s="379"/>
      <c r="U257" s="101"/>
      <c r="V257" s="101"/>
      <c r="W257" s="101"/>
      <c r="X257" s="101"/>
      <c r="Y257" s="101"/>
    </row>
    <row r="258" spans="1:25" x14ac:dyDescent="0.2">
      <c r="A258" s="219">
        <v>191</v>
      </c>
      <c r="B258" s="36"/>
      <c r="C258" s="9" t="s">
        <v>260</v>
      </c>
      <c r="D258" s="9"/>
      <c r="E258" s="18" t="s">
        <v>261</v>
      </c>
      <c r="F258" s="155" t="s">
        <v>288</v>
      </c>
      <c r="G258" s="294"/>
      <c r="H258" s="269"/>
      <c r="I258" s="379"/>
      <c r="J258" s="379"/>
      <c r="K258" s="379"/>
      <c r="L258" s="379"/>
      <c r="M258" s="379"/>
      <c r="N258" s="379"/>
      <c r="O258" s="379"/>
      <c r="P258" s="379"/>
      <c r="Q258" s="379"/>
      <c r="R258" s="379"/>
      <c r="S258" s="379"/>
      <c r="T258" s="379"/>
      <c r="U258" s="101"/>
      <c r="V258" s="101"/>
      <c r="W258" s="101"/>
      <c r="X258" s="101"/>
      <c r="Y258" s="101"/>
    </row>
    <row r="259" spans="1:25" x14ac:dyDescent="0.2">
      <c r="A259" s="219">
        <v>192</v>
      </c>
      <c r="B259" s="36"/>
      <c r="C259" s="9" t="s">
        <v>289</v>
      </c>
      <c r="D259" s="9"/>
      <c r="E259" s="18" t="s">
        <v>290</v>
      </c>
      <c r="F259" s="155" t="s">
        <v>286</v>
      </c>
      <c r="G259" s="294"/>
      <c r="H259" s="260"/>
      <c r="I259" s="379"/>
      <c r="J259" s="379"/>
      <c r="K259" s="379"/>
      <c r="L259" s="379"/>
      <c r="M259" s="379"/>
      <c r="N259" s="379"/>
      <c r="O259" s="379"/>
      <c r="P259" s="379"/>
      <c r="Q259" s="379"/>
      <c r="R259" s="379"/>
      <c r="S259" s="379"/>
      <c r="T259" s="379"/>
      <c r="U259" s="101"/>
      <c r="V259" s="101"/>
      <c r="W259" s="101"/>
      <c r="X259" s="101"/>
      <c r="Y259" s="101"/>
    </row>
    <row r="260" spans="1:25" x14ac:dyDescent="0.2">
      <c r="A260" s="219">
        <v>193</v>
      </c>
      <c r="B260" s="36"/>
      <c r="C260" s="9" t="s">
        <v>207</v>
      </c>
      <c r="D260" s="9"/>
      <c r="E260" s="18" t="s">
        <v>177</v>
      </c>
      <c r="F260" s="155" t="s">
        <v>286</v>
      </c>
      <c r="G260" s="294"/>
      <c r="H260" s="269"/>
      <c r="I260" s="379"/>
      <c r="J260" s="379"/>
      <c r="K260" s="379"/>
      <c r="L260" s="379"/>
      <c r="M260" s="379"/>
      <c r="N260" s="379"/>
      <c r="O260" s="379"/>
      <c r="P260" s="379"/>
      <c r="Q260" s="379"/>
      <c r="R260" s="379"/>
      <c r="S260" s="379"/>
      <c r="T260" s="379"/>
      <c r="U260" s="101"/>
      <c r="V260" s="101"/>
      <c r="W260" s="101"/>
      <c r="X260" s="101"/>
      <c r="Y260" s="101"/>
    </row>
    <row r="261" spans="1:25" x14ac:dyDescent="0.2">
      <c r="A261" s="219">
        <v>194</v>
      </c>
      <c r="B261" s="36"/>
      <c r="C261" s="9" t="s">
        <v>291</v>
      </c>
      <c r="D261" s="9"/>
      <c r="E261" s="18" t="s">
        <v>292</v>
      </c>
      <c r="F261" s="155" t="s">
        <v>286</v>
      </c>
      <c r="G261" s="294"/>
      <c r="H261" s="260"/>
      <c r="I261" s="379"/>
      <c r="J261" s="379"/>
      <c r="K261" s="379"/>
      <c r="L261" s="379"/>
      <c r="M261" s="379"/>
      <c r="N261" s="379"/>
      <c r="O261" s="379"/>
      <c r="P261" s="379"/>
      <c r="Q261" s="379"/>
      <c r="R261" s="379"/>
      <c r="S261" s="379"/>
      <c r="T261" s="379"/>
      <c r="U261" s="101"/>
      <c r="V261" s="101"/>
      <c r="W261" s="101"/>
      <c r="X261" s="101"/>
      <c r="Y261" s="101"/>
    </row>
    <row r="262" spans="1:25" x14ac:dyDescent="0.2">
      <c r="A262" s="219">
        <v>195</v>
      </c>
      <c r="B262" s="36"/>
      <c r="C262" s="9" t="s">
        <v>180</v>
      </c>
      <c r="D262" s="9"/>
      <c r="E262" s="18" t="s">
        <v>181</v>
      </c>
      <c r="F262" s="155" t="s">
        <v>286</v>
      </c>
      <c r="G262" s="294"/>
      <c r="H262" s="260"/>
      <c r="I262" s="379"/>
      <c r="J262" s="379"/>
      <c r="K262" s="379"/>
      <c r="L262" s="379"/>
      <c r="M262" s="379"/>
      <c r="N262" s="379"/>
      <c r="O262" s="379"/>
      <c r="P262" s="379"/>
      <c r="Q262" s="379"/>
      <c r="R262" s="379"/>
      <c r="S262" s="379"/>
      <c r="T262" s="379"/>
      <c r="U262" s="101"/>
      <c r="V262" s="101"/>
      <c r="W262" s="101"/>
      <c r="X262" s="101"/>
      <c r="Y262" s="101"/>
    </row>
    <row r="263" spans="1:25" x14ac:dyDescent="0.2">
      <c r="A263" s="219">
        <v>196</v>
      </c>
      <c r="B263" s="36"/>
      <c r="C263" s="9" t="s">
        <v>182</v>
      </c>
      <c r="D263" s="9"/>
      <c r="E263" s="18" t="s">
        <v>183</v>
      </c>
      <c r="F263" s="155" t="s">
        <v>286</v>
      </c>
      <c r="G263" s="294"/>
      <c r="H263" s="260"/>
      <c r="I263" s="379"/>
      <c r="J263" s="379"/>
      <c r="K263" s="379"/>
      <c r="L263" s="379"/>
      <c r="M263" s="379"/>
      <c r="N263" s="379"/>
      <c r="O263" s="379"/>
      <c r="P263" s="379"/>
      <c r="Q263" s="379"/>
      <c r="R263" s="379"/>
      <c r="S263" s="379"/>
      <c r="T263" s="379"/>
      <c r="U263" s="101"/>
      <c r="V263" s="101"/>
      <c r="W263" s="101"/>
      <c r="X263" s="101"/>
      <c r="Y263" s="101"/>
    </row>
    <row r="264" spans="1:25" x14ac:dyDescent="0.2">
      <c r="A264" s="219"/>
      <c r="B264" s="36"/>
      <c r="C264" s="9" t="s">
        <v>293</v>
      </c>
      <c r="D264" s="9"/>
      <c r="E264" s="61"/>
      <c r="F264" s="154"/>
      <c r="G264" s="293"/>
      <c r="H264" s="259"/>
      <c r="I264" s="379"/>
      <c r="J264" s="379"/>
      <c r="K264" s="379"/>
      <c r="L264" s="379"/>
      <c r="M264" s="379"/>
      <c r="N264" s="379"/>
      <c r="O264" s="379"/>
      <c r="P264" s="379"/>
      <c r="Q264" s="379"/>
      <c r="R264" s="379"/>
      <c r="S264" s="379"/>
      <c r="T264" s="379"/>
      <c r="U264" s="101"/>
      <c r="V264" s="101"/>
      <c r="W264" s="101"/>
      <c r="X264" s="101"/>
      <c r="Y264" s="101"/>
    </row>
    <row r="265" spans="1:25" x14ac:dyDescent="0.2">
      <c r="A265" s="219">
        <v>197</v>
      </c>
      <c r="B265" s="36"/>
      <c r="C265" s="9"/>
      <c r="D265" s="9" t="s">
        <v>294</v>
      </c>
      <c r="E265" s="18" t="s">
        <v>290</v>
      </c>
      <c r="F265" s="155" t="s">
        <v>295</v>
      </c>
      <c r="G265" s="294"/>
      <c r="H265" s="260"/>
      <c r="I265" s="379"/>
      <c r="J265" s="379"/>
      <c r="K265" s="379"/>
      <c r="L265" s="379"/>
      <c r="M265" s="379"/>
      <c r="N265" s="379"/>
      <c r="O265" s="379"/>
      <c r="P265" s="379"/>
      <c r="Q265" s="379"/>
      <c r="R265" s="379"/>
      <c r="S265" s="379"/>
      <c r="T265" s="379"/>
      <c r="U265" s="101"/>
      <c r="V265" s="101"/>
      <c r="W265" s="101"/>
      <c r="X265" s="101"/>
      <c r="Y265" s="101"/>
    </row>
    <row r="266" spans="1:25" x14ac:dyDescent="0.2">
      <c r="A266" s="219">
        <v>198</v>
      </c>
      <c r="B266" s="36"/>
      <c r="C266" s="9"/>
      <c r="D266" s="9" t="s">
        <v>296</v>
      </c>
      <c r="E266" s="18" t="s">
        <v>297</v>
      </c>
      <c r="F266" s="155" t="s">
        <v>295</v>
      </c>
      <c r="G266" s="294"/>
      <c r="H266" s="260"/>
      <c r="I266" s="379"/>
      <c r="J266" s="379"/>
      <c r="K266" s="379"/>
      <c r="L266" s="379"/>
      <c r="M266" s="379"/>
      <c r="N266" s="379"/>
      <c r="O266" s="379"/>
      <c r="P266" s="379"/>
      <c r="Q266" s="379"/>
      <c r="R266" s="379"/>
      <c r="S266" s="379"/>
      <c r="T266" s="379"/>
      <c r="U266" s="101"/>
      <c r="V266" s="101"/>
      <c r="W266" s="101"/>
      <c r="X266" s="101"/>
      <c r="Y266" s="101"/>
    </row>
    <row r="267" spans="1:25" x14ac:dyDescent="0.2">
      <c r="A267" s="219">
        <v>199</v>
      </c>
      <c r="B267" s="36"/>
      <c r="C267" s="9"/>
      <c r="D267" s="9" t="s">
        <v>298</v>
      </c>
      <c r="E267" s="18" t="s">
        <v>299</v>
      </c>
      <c r="F267" s="155" t="s">
        <v>295</v>
      </c>
      <c r="G267" s="294">
        <v>6822</v>
      </c>
      <c r="H267" s="269" t="s">
        <v>262</v>
      </c>
      <c r="I267" s="379"/>
      <c r="J267" s="379"/>
      <c r="K267" s="379"/>
      <c r="L267" s="379"/>
      <c r="M267" s="379"/>
      <c r="N267" s="379"/>
      <c r="O267" s="379"/>
      <c r="P267" s="379"/>
      <c r="Q267" s="379"/>
      <c r="R267" s="379"/>
      <c r="S267" s="379"/>
      <c r="T267" s="379"/>
      <c r="U267" s="101"/>
      <c r="V267" s="101"/>
      <c r="W267" s="101"/>
      <c r="X267" s="101"/>
      <c r="Y267" s="101"/>
    </row>
    <row r="268" spans="1:25" x14ac:dyDescent="0.2">
      <c r="A268" s="219">
        <v>200</v>
      </c>
      <c r="B268" s="36"/>
      <c r="C268" s="9"/>
      <c r="D268" s="9" t="s">
        <v>300</v>
      </c>
      <c r="E268" s="18" t="s">
        <v>301</v>
      </c>
      <c r="F268" s="155" t="s">
        <v>295</v>
      </c>
      <c r="G268" s="294">
        <v>191646</v>
      </c>
      <c r="H268" s="269" t="s">
        <v>262</v>
      </c>
      <c r="I268" s="379"/>
      <c r="J268" s="379"/>
      <c r="K268" s="379"/>
      <c r="L268" s="379"/>
      <c r="M268" s="379"/>
      <c r="N268" s="379"/>
      <c r="O268" s="379"/>
      <c r="P268" s="379"/>
      <c r="Q268" s="379"/>
      <c r="R268" s="379"/>
      <c r="S268" s="379"/>
      <c r="T268" s="379"/>
      <c r="U268" s="101"/>
      <c r="V268" s="101"/>
      <c r="W268" s="101"/>
      <c r="X268" s="101"/>
      <c r="Y268" s="101"/>
    </row>
    <row r="269" spans="1:25" x14ac:dyDescent="0.2">
      <c r="A269" s="219">
        <v>201</v>
      </c>
      <c r="B269" s="36"/>
      <c r="C269" s="9"/>
      <c r="D269" s="9" t="s">
        <v>171</v>
      </c>
      <c r="E269" s="18" t="s">
        <v>172</v>
      </c>
      <c r="F269" s="155" t="s">
        <v>295</v>
      </c>
      <c r="G269" s="294">
        <v>202787</v>
      </c>
      <c r="H269" s="269" t="s">
        <v>262</v>
      </c>
      <c r="I269" s="379"/>
      <c r="J269" s="379"/>
      <c r="K269" s="379"/>
      <c r="L269" s="379"/>
      <c r="M269" s="379"/>
      <c r="N269" s="379"/>
      <c r="O269" s="379"/>
      <c r="P269" s="379"/>
      <c r="Q269" s="379"/>
      <c r="R269" s="379"/>
      <c r="S269" s="379"/>
      <c r="T269" s="379"/>
      <c r="U269" s="101"/>
      <c r="V269" s="101"/>
      <c r="W269" s="101"/>
      <c r="X269" s="101"/>
      <c r="Y269" s="101"/>
    </row>
    <row r="270" spans="1:25" x14ac:dyDescent="0.2">
      <c r="A270" s="219">
        <v>202</v>
      </c>
      <c r="B270" s="36"/>
      <c r="C270" s="9"/>
      <c r="D270" s="9" t="s">
        <v>302</v>
      </c>
      <c r="E270" s="18" t="s">
        <v>303</v>
      </c>
      <c r="F270" s="155" t="s">
        <v>295</v>
      </c>
      <c r="G270" s="294">
        <v>70168</v>
      </c>
      <c r="H270" s="269" t="s">
        <v>262</v>
      </c>
      <c r="I270" s="379"/>
      <c r="J270" s="379"/>
      <c r="K270" s="379"/>
      <c r="L270" s="379"/>
      <c r="M270" s="379"/>
      <c r="N270" s="379"/>
      <c r="O270" s="379"/>
      <c r="P270" s="379"/>
      <c r="Q270" s="379"/>
      <c r="R270" s="379"/>
      <c r="S270" s="379"/>
      <c r="T270" s="379"/>
      <c r="U270" s="101"/>
      <c r="V270" s="101"/>
      <c r="W270" s="101"/>
      <c r="X270" s="101"/>
      <c r="Y270" s="101"/>
    </row>
    <row r="271" spans="1:25" x14ac:dyDescent="0.2">
      <c r="A271" s="219">
        <v>203</v>
      </c>
      <c r="B271" s="36"/>
      <c r="C271" s="9"/>
      <c r="D271" s="9" t="s">
        <v>304</v>
      </c>
      <c r="E271" s="18" t="s">
        <v>264</v>
      </c>
      <c r="F271" s="155" t="s">
        <v>295</v>
      </c>
      <c r="G271" s="294">
        <v>65294</v>
      </c>
      <c r="H271" s="269" t="s">
        <v>262</v>
      </c>
      <c r="I271" s="379"/>
      <c r="J271" s="379"/>
      <c r="K271" s="379"/>
      <c r="L271" s="379"/>
      <c r="M271" s="379"/>
      <c r="N271" s="379"/>
      <c r="O271" s="379"/>
      <c r="P271" s="379"/>
      <c r="Q271" s="379"/>
      <c r="R271" s="379"/>
      <c r="S271" s="379"/>
      <c r="T271" s="379"/>
      <c r="U271" s="101"/>
      <c r="V271" s="101"/>
      <c r="W271" s="101"/>
      <c r="X271" s="101"/>
      <c r="Y271" s="101"/>
    </row>
    <row r="272" spans="1:25" x14ac:dyDescent="0.2">
      <c r="A272" s="219">
        <v>204</v>
      </c>
      <c r="B272" s="36"/>
      <c r="C272" s="9"/>
      <c r="D272" s="9" t="s">
        <v>305</v>
      </c>
      <c r="E272" s="18" t="s">
        <v>306</v>
      </c>
      <c r="F272" s="155" t="s">
        <v>295</v>
      </c>
      <c r="G272" s="294">
        <v>230088</v>
      </c>
      <c r="H272" s="269" t="s">
        <v>262</v>
      </c>
      <c r="I272" s="379"/>
      <c r="J272" s="379"/>
      <c r="K272" s="379"/>
      <c r="L272" s="379"/>
      <c r="M272" s="379"/>
      <c r="N272" s="379"/>
      <c r="O272" s="379"/>
      <c r="P272" s="379"/>
      <c r="Q272" s="379"/>
      <c r="R272" s="379"/>
      <c r="S272" s="379"/>
      <c r="T272" s="379"/>
      <c r="U272" s="101"/>
      <c r="V272" s="101"/>
      <c r="W272" s="101"/>
      <c r="X272" s="101"/>
      <c r="Y272" s="101"/>
    </row>
    <row r="273" spans="1:25" x14ac:dyDescent="0.2">
      <c r="A273" s="219">
        <v>205</v>
      </c>
      <c r="B273" s="36"/>
      <c r="C273" s="9" t="s">
        <v>307</v>
      </c>
      <c r="D273" s="9"/>
      <c r="E273" s="18" t="s">
        <v>308</v>
      </c>
      <c r="F273" s="155">
        <v>2630</v>
      </c>
      <c r="G273" s="294"/>
      <c r="H273" s="260"/>
      <c r="I273" s="379"/>
      <c r="J273" s="379"/>
      <c r="K273" s="379"/>
      <c r="L273" s="379"/>
      <c r="M273" s="379"/>
      <c r="N273" s="379"/>
      <c r="O273" s="379"/>
      <c r="P273" s="379"/>
      <c r="Q273" s="379"/>
      <c r="R273" s="379"/>
      <c r="S273" s="379"/>
      <c r="T273" s="379"/>
      <c r="U273" s="101"/>
      <c r="V273" s="101"/>
      <c r="W273" s="101"/>
      <c r="X273" s="101"/>
      <c r="Y273" s="101"/>
    </row>
    <row r="274" spans="1:25" x14ac:dyDescent="0.2">
      <c r="A274" s="219">
        <v>206</v>
      </c>
      <c r="B274" s="36"/>
      <c r="C274" s="9" t="s">
        <v>309</v>
      </c>
      <c r="D274" s="9"/>
      <c r="E274" s="18" t="s">
        <v>308</v>
      </c>
      <c r="F274" s="155">
        <v>2640</v>
      </c>
      <c r="G274" s="294"/>
      <c r="H274" s="260"/>
      <c r="I274" s="379"/>
      <c r="J274" s="379"/>
      <c r="K274" s="379"/>
      <c r="L274" s="379"/>
      <c r="M274" s="379"/>
      <c r="N274" s="379"/>
      <c r="O274" s="379"/>
      <c r="P274" s="379"/>
      <c r="Q274" s="379"/>
      <c r="R274" s="379"/>
      <c r="S274" s="379"/>
      <c r="T274" s="379"/>
      <c r="U274" s="101"/>
      <c r="V274" s="101"/>
      <c r="W274" s="101"/>
      <c r="X274" s="101"/>
      <c r="Y274" s="101"/>
    </row>
    <row r="275" spans="1:25" x14ac:dyDescent="0.2">
      <c r="A275" s="219">
        <v>207</v>
      </c>
      <c r="B275" s="36"/>
      <c r="C275" s="9" t="s">
        <v>310</v>
      </c>
      <c r="D275" s="9"/>
      <c r="E275" s="18" t="s">
        <v>212</v>
      </c>
      <c r="F275" s="155" t="s">
        <v>285</v>
      </c>
      <c r="G275" s="294"/>
      <c r="H275" s="260"/>
      <c r="I275" s="379"/>
      <c r="J275" s="379"/>
      <c r="K275" s="379"/>
      <c r="L275" s="379"/>
      <c r="M275" s="379"/>
      <c r="N275" s="379"/>
      <c r="O275" s="379"/>
      <c r="P275" s="379"/>
      <c r="Q275" s="379"/>
      <c r="R275" s="379"/>
      <c r="S275" s="379"/>
      <c r="T275" s="379"/>
      <c r="U275" s="101"/>
      <c r="V275" s="101"/>
      <c r="W275" s="101"/>
      <c r="X275" s="101"/>
      <c r="Y275" s="101"/>
    </row>
    <row r="276" spans="1:25" x14ac:dyDescent="0.2">
      <c r="A276" s="219">
        <v>208</v>
      </c>
      <c r="B276" s="36"/>
      <c r="C276" s="9" t="s">
        <v>184</v>
      </c>
      <c r="D276" s="9"/>
      <c r="E276" s="18" t="s">
        <v>185</v>
      </c>
      <c r="F276" s="155" t="s">
        <v>285</v>
      </c>
      <c r="G276" s="294">
        <v>11077.56</v>
      </c>
      <c r="H276" s="269" t="s">
        <v>162</v>
      </c>
      <c r="I276" s="379"/>
      <c r="J276" s="379"/>
      <c r="K276" s="379"/>
      <c r="L276" s="379"/>
      <c r="M276" s="379"/>
      <c r="N276" s="379"/>
      <c r="O276" s="379"/>
      <c r="P276" s="379"/>
      <c r="Q276" s="379"/>
      <c r="R276" s="379"/>
      <c r="S276" s="379"/>
      <c r="T276" s="379"/>
      <c r="U276" s="101"/>
      <c r="V276" s="101"/>
      <c r="W276" s="101"/>
      <c r="X276" s="101"/>
      <c r="Y276" s="101"/>
    </row>
    <row r="277" spans="1:25" x14ac:dyDescent="0.2">
      <c r="A277" s="219">
        <v>209</v>
      </c>
      <c r="B277" s="36"/>
      <c r="C277" s="9" t="s">
        <v>186</v>
      </c>
      <c r="D277" s="9"/>
      <c r="E277" s="18" t="s">
        <v>187</v>
      </c>
      <c r="F277" s="155" t="s">
        <v>285</v>
      </c>
      <c r="G277" s="294">
        <v>8990</v>
      </c>
      <c r="H277" s="269" t="s">
        <v>162</v>
      </c>
      <c r="I277" s="379"/>
      <c r="J277" s="379"/>
      <c r="K277" s="379"/>
      <c r="L277" s="379"/>
      <c r="M277" s="379"/>
      <c r="N277" s="379"/>
      <c r="O277" s="379"/>
      <c r="P277" s="379"/>
      <c r="Q277" s="379"/>
      <c r="R277" s="379"/>
      <c r="S277" s="379"/>
      <c r="T277" s="379"/>
      <c r="U277" s="101"/>
      <c r="V277" s="101"/>
      <c r="W277" s="101"/>
      <c r="X277" s="101"/>
      <c r="Y277" s="101"/>
    </row>
    <row r="278" spans="1:25" x14ac:dyDescent="0.2">
      <c r="A278" s="219">
        <v>210</v>
      </c>
      <c r="B278" s="36"/>
      <c r="C278" s="9" t="s">
        <v>188</v>
      </c>
      <c r="D278" s="9"/>
      <c r="E278" s="18" t="s">
        <v>189</v>
      </c>
      <c r="F278" s="155" t="s">
        <v>285</v>
      </c>
      <c r="G278" s="294">
        <v>2102.5</v>
      </c>
      <c r="H278" s="269" t="s">
        <v>162</v>
      </c>
      <c r="I278" s="379"/>
      <c r="J278" s="379"/>
      <c r="K278" s="379"/>
      <c r="L278" s="379"/>
      <c r="M278" s="379"/>
      <c r="N278" s="379"/>
      <c r="O278" s="379"/>
      <c r="P278" s="379"/>
      <c r="Q278" s="379"/>
      <c r="R278" s="379"/>
      <c r="S278" s="379"/>
      <c r="T278" s="379"/>
      <c r="U278" s="101"/>
      <c r="V278" s="101"/>
      <c r="W278" s="101"/>
      <c r="X278" s="101"/>
      <c r="Y278" s="101"/>
    </row>
    <row r="279" spans="1:25" x14ac:dyDescent="0.2">
      <c r="A279" s="219">
        <v>211</v>
      </c>
      <c r="B279" s="36"/>
      <c r="C279" s="9" t="s">
        <v>190</v>
      </c>
      <c r="D279" s="9"/>
      <c r="E279" s="18" t="s">
        <v>191</v>
      </c>
      <c r="F279" s="155" t="s">
        <v>285</v>
      </c>
      <c r="G279" s="294">
        <v>6250</v>
      </c>
      <c r="H279" s="269" t="s">
        <v>162</v>
      </c>
      <c r="I279" s="379"/>
      <c r="J279" s="379"/>
      <c r="K279" s="379"/>
      <c r="L279" s="379"/>
      <c r="M279" s="379"/>
      <c r="N279" s="379"/>
      <c r="O279" s="379"/>
      <c r="P279" s="379"/>
      <c r="Q279" s="379"/>
      <c r="R279" s="379"/>
      <c r="S279" s="379"/>
      <c r="T279" s="379"/>
      <c r="U279" s="101"/>
      <c r="V279" s="101"/>
      <c r="W279" s="101"/>
      <c r="X279" s="101"/>
      <c r="Y279" s="101"/>
    </row>
    <row r="280" spans="1:25" x14ac:dyDescent="0.2">
      <c r="A280" s="219">
        <v>212</v>
      </c>
      <c r="B280" s="36"/>
      <c r="C280" s="9" t="s">
        <v>192</v>
      </c>
      <c r="D280" s="9"/>
      <c r="E280" s="18" t="s">
        <v>193</v>
      </c>
      <c r="F280" s="155" t="s">
        <v>285</v>
      </c>
      <c r="G280" s="294"/>
      <c r="H280" s="269"/>
      <c r="I280" s="379"/>
      <c r="J280" s="379"/>
      <c r="K280" s="379"/>
      <c r="L280" s="379"/>
      <c r="M280" s="379"/>
      <c r="N280" s="379"/>
      <c r="O280" s="379"/>
      <c r="P280" s="379"/>
      <c r="Q280" s="379"/>
      <c r="R280" s="379"/>
      <c r="S280" s="379"/>
      <c r="T280" s="379"/>
      <c r="U280" s="101"/>
      <c r="V280" s="101"/>
      <c r="W280" s="101"/>
      <c r="X280" s="101"/>
      <c r="Y280" s="101"/>
    </row>
    <row r="281" spans="1:25" x14ac:dyDescent="0.2">
      <c r="A281" s="219">
        <v>213</v>
      </c>
      <c r="B281" s="36"/>
      <c r="C281" s="9" t="s">
        <v>194</v>
      </c>
      <c r="D281" s="9"/>
      <c r="E281" s="18" t="s">
        <v>195</v>
      </c>
      <c r="F281" s="155" t="s">
        <v>285</v>
      </c>
      <c r="G281" s="294"/>
      <c r="H281" s="269"/>
      <c r="I281" s="379"/>
      <c r="J281" s="379"/>
      <c r="K281" s="379"/>
      <c r="L281" s="379"/>
      <c r="M281" s="379"/>
      <c r="N281" s="379"/>
      <c r="O281" s="379"/>
      <c r="P281" s="379"/>
      <c r="Q281" s="379"/>
      <c r="R281" s="379"/>
      <c r="S281" s="379"/>
      <c r="T281" s="379"/>
      <c r="U281" s="101"/>
      <c r="V281" s="101"/>
      <c r="W281" s="101"/>
      <c r="X281" s="101"/>
      <c r="Y281" s="101"/>
    </row>
    <row r="282" spans="1:25" x14ac:dyDescent="0.2">
      <c r="A282" s="219">
        <v>214</v>
      </c>
      <c r="B282" s="36"/>
      <c r="C282" s="85" t="s">
        <v>196</v>
      </c>
      <c r="D282" s="9"/>
      <c r="E282" s="18"/>
      <c r="F282" s="155"/>
      <c r="G282" s="294"/>
      <c r="H282" s="260"/>
      <c r="I282" s="379"/>
      <c r="J282" s="379"/>
      <c r="K282" s="379"/>
      <c r="L282" s="379"/>
      <c r="M282" s="379"/>
      <c r="N282" s="379"/>
      <c r="O282" s="379"/>
      <c r="P282" s="379"/>
      <c r="Q282" s="379"/>
      <c r="R282" s="379"/>
      <c r="S282" s="379"/>
      <c r="T282" s="379"/>
      <c r="U282" s="101"/>
      <c r="V282" s="101"/>
      <c r="W282" s="101"/>
      <c r="X282" s="101"/>
      <c r="Y282" s="101"/>
    </row>
    <row r="283" spans="1:25" x14ac:dyDescent="0.2">
      <c r="A283" s="219">
        <v>215</v>
      </c>
      <c r="B283" s="36"/>
      <c r="C283" s="85"/>
      <c r="D283" s="9"/>
      <c r="E283" s="18"/>
      <c r="F283" s="155"/>
      <c r="G283" s="294"/>
      <c r="H283" s="260"/>
      <c r="I283" s="379"/>
      <c r="J283" s="379"/>
      <c r="K283" s="379"/>
      <c r="L283" s="379"/>
      <c r="M283" s="379"/>
      <c r="N283" s="379"/>
      <c r="O283" s="379"/>
      <c r="P283" s="379"/>
      <c r="Q283" s="379"/>
      <c r="R283" s="379"/>
      <c r="S283" s="379"/>
      <c r="T283" s="379"/>
      <c r="U283" s="101"/>
      <c r="V283" s="101"/>
      <c r="W283" s="101"/>
      <c r="X283" s="101"/>
      <c r="Y283" s="101"/>
    </row>
    <row r="284" spans="1:25" x14ac:dyDescent="0.2">
      <c r="A284" s="219">
        <v>216</v>
      </c>
      <c r="B284" s="36"/>
      <c r="C284" s="9"/>
      <c r="D284" s="9"/>
      <c r="E284" s="18"/>
      <c r="F284" s="155"/>
      <c r="G284" s="294"/>
      <c r="H284" s="260"/>
      <c r="I284" s="379"/>
      <c r="J284" s="379"/>
      <c r="K284" s="379"/>
      <c r="L284" s="379"/>
      <c r="M284" s="379"/>
      <c r="N284" s="379"/>
      <c r="O284" s="379"/>
      <c r="P284" s="379"/>
      <c r="Q284" s="379"/>
      <c r="R284" s="379"/>
      <c r="S284" s="379"/>
      <c r="T284" s="379"/>
      <c r="U284" s="101"/>
      <c r="V284" s="101"/>
      <c r="W284" s="101"/>
      <c r="X284" s="101"/>
      <c r="Y284" s="101"/>
    </row>
    <row r="285" spans="1:25" ht="15" x14ac:dyDescent="0.25">
      <c r="A285" s="220">
        <v>217</v>
      </c>
      <c r="B285" s="87" t="s">
        <v>311</v>
      </c>
      <c r="C285" s="51"/>
      <c r="D285" s="51"/>
      <c r="E285" s="49"/>
      <c r="F285" s="159"/>
      <c r="G285" s="297">
        <f>SUM(G256:G284)</f>
        <v>1087634.06</v>
      </c>
      <c r="H285" s="263"/>
      <c r="I285" s="379"/>
      <c r="J285" s="379"/>
      <c r="K285" s="379"/>
      <c r="L285" s="379"/>
      <c r="M285" s="379"/>
      <c r="N285" s="379"/>
      <c r="O285" s="379"/>
      <c r="P285" s="379"/>
      <c r="Q285" s="379"/>
      <c r="R285" s="379"/>
      <c r="S285" s="379"/>
      <c r="T285" s="379"/>
      <c r="U285" s="101"/>
      <c r="V285" s="101"/>
      <c r="W285" s="101"/>
      <c r="X285" s="101"/>
      <c r="Y285" s="101"/>
    </row>
    <row r="286" spans="1:25" x14ac:dyDescent="0.2">
      <c r="A286" s="219"/>
      <c r="B286" s="36"/>
      <c r="C286" s="9"/>
      <c r="D286" s="9"/>
      <c r="E286" s="61"/>
      <c r="F286" s="154"/>
      <c r="G286" s="293"/>
      <c r="H286" s="259"/>
      <c r="I286" s="379"/>
      <c r="J286" s="379"/>
      <c r="K286" s="379"/>
      <c r="L286" s="379"/>
      <c r="M286" s="379"/>
      <c r="N286" s="379"/>
      <c r="O286" s="379"/>
      <c r="P286" s="379"/>
      <c r="Q286" s="379"/>
      <c r="R286" s="379"/>
      <c r="S286" s="379"/>
      <c r="T286" s="379"/>
      <c r="U286" s="101"/>
      <c r="V286" s="101"/>
      <c r="W286" s="101"/>
      <c r="X286" s="101"/>
      <c r="Y286" s="101"/>
    </row>
    <row r="287" spans="1:25" s="4" customFormat="1" ht="15" x14ac:dyDescent="0.25">
      <c r="A287" s="219"/>
      <c r="B287" s="88" t="s">
        <v>312</v>
      </c>
      <c r="C287" s="53"/>
      <c r="D287" s="53"/>
      <c r="E287" s="77"/>
      <c r="F287" s="166"/>
      <c r="G287" s="309"/>
      <c r="H287" s="278"/>
      <c r="I287" s="236"/>
      <c r="J287" s="236"/>
      <c r="K287" s="236"/>
      <c r="L287" s="236"/>
      <c r="M287" s="236"/>
      <c r="N287" s="236"/>
      <c r="O287" s="236"/>
      <c r="P287" s="236"/>
      <c r="Q287" s="236"/>
      <c r="R287" s="236"/>
      <c r="S287" s="236"/>
      <c r="T287" s="236"/>
      <c r="U287" s="233"/>
      <c r="V287" s="233"/>
      <c r="W287" s="233"/>
      <c r="X287" s="233"/>
      <c r="Y287" s="233"/>
    </row>
    <row r="288" spans="1:25" x14ac:dyDescent="0.2">
      <c r="A288" s="219">
        <v>218</v>
      </c>
      <c r="B288" s="36"/>
      <c r="C288" s="9" t="s">
        <v>168</v>
      </c>
      <c r="D288" s="9"/>
      <c r="E288" s="18" t="s">
        <v>313</v>
      </c>
      <c r="F288" s="155" t="s">
        <v>314</v>
      </c>
      <c r="G288" s="294">
        <v>301408.96668956045</v>
      </c>
      <c r="H288" s="269" t="s">
        <v>262</v>
      </c>
      <c r="I288" s="379"/>
      <c r="J288" s="379"/>
      <c r="K288" s="379"/>
      <c r="L288" s="379"/>
      <c r="M288" s="379"/>
      <c r="N288" s="379"/>
      <c r="O288" s="379"/>
      <c r="P288" s="379"/>
      <c r="Q288" s="379"/>
      <c r="R288" s="379"/>
      <c r="S288" s="379"/>
      <c r="T288" s="379"/>
      <c r="U288" s="101"/>
      <c r="V288" s="101"/>
      <c r="W288" s="101"/>
      <c r="X288" s="101"/>
      <c r="Y288" s="101"/>
    </row>
    <row r="289" spans="1:25" x14ac:dyDescent="0.2">
      <c r="A289" s="219"/>
      <c r="B289" s="36"/>
      <c r="C289" s="9" t="s">
        <v>315</v>
      </c>
      <c r="D289" s="9"/>
      <c r="E289" s="61"/>
      <c r="F289" s="154"/>
      <c r="G289" s="293"/>
      <c r="H289" s="259"/>
      <c r="I289" s="379"/>
      <c r="J289" s="379"/>
      <c r="K289" s="379"/>
      <c r="L289" s="379"/>
      <c r="M289" s="379"/>
      <c r="N289" s="379"/>
      <c r="O289" s="379"/>
      <c r="P289" s="379"/>
      <c r="Q289" s="379"/>
      <c r="R289" s="379"/>
      <c r="S289" s="379"/>
      <c r="T289" s="379"/>
      <c r="U289" s="101"/>
      <c r="V289" s="101"/>
      <c r="W289" s="101"/>
      <c r="X289" s="101"/>
      <c r="Y289" s="101"/>
    </row>
    <row r="290" spans="1:25" x14ac:dyDescent="0.2">
      <c r="A290" s="219">
        <v>219</v>
      </c>
      <c r="B290" s="36"/>
      <c r="C290" s="9" t="s">
        <v>157</v>
      </c>
      <c r="D290" s="9" t="s">
        <v>316</v>
      </c>
      <c r="E290" s="18" t="s">
        <v>272</v>
      </c>
      <c r="F290" s="155" t="s">
        <v>314</v>
      </c>
      <c r="G290" s="294"/>
      <c r="H290" s="260"/>
      <c r="I290" s="379"/>
      <c r="J290" s="379"/>
      <c r="K290" s="379"/>
      <c r="L290" s="379"/>
      <c r="M290" s="379"/>
      <c r="N290" s="379"/>
      <c r="O290" s="379"/>
      <c r="P290" s="379"/>
      <c r="Q290" s="379"/>
      <c r="R290" s="379"/>
      <c r="S290" s="379"/>
      <c r="T290" s="379"/>
      <c r="U290" s="101"/>
      <c r="V290" s="101"/>
      <c r="W290" s="101"/>
      <c r="X290" s="101"/>
      <c r="Y290" s="101"/>
    </row>
    <row r="291" spans="1:25" x14ac:dyDescent="0.2">
      <c r="A291" s="219">
        <v>220</v>
      </c>
      <c r="B291" s="36"/>
      <c r="C291" s="9"/>
      <c r="D291" s="9" t="s">
        <v>171</v>
      </c>
      <c r="E291" s="18" t="s">
        <v>172</v>
      </c>
      <c r="F291" s="155" t="s">
        <v>317</v>
      </c>
      <c r="G291" s="294"/>
      <c r="H291" s="260"/>
      <c r="I291" s="379"/>
      <c r="J291" s="379"/>
      <c r="K291" s="379"/>
      <c r="L291" s="379"/>
      <c r="M291" s="379"/>
      <c r="N291" s="379"/>
      <c r="O291" s="379"/>
      <c r="P291" s="379"/>
      <c r="Q291" s="379"/>
      <c r="R291" s="379"/>
      <c r="S291" s="379"/>
      <c r="T291" s="379"/>
      <c r="U291" s="101"/>
      <c r="V291" s="101"/>
      <c r="W291" s="101"/>
      <c r="X291" s="101"/>
      <c r="Y291" s="101"/>
    </row>
    <row r="292" spans="1:25" x14ac:dyDescent="0.2">
      <c r="A292" s="219">
        <v>221</v>
      </c>
      <c r="B292" s="36"/>
      <c r="C292" s="9"/>
      <c r="D292" s="9" t="s">
        <v>318</v>
      </c>
      <c r="E292" s="18" t="s">
        <v>319</v>
      </c>
      <c r="F292" s="155" t="s">
        <v>317</v>
      </c>
      <c r="G292" s="294"/>
      <c r="H292" s="269"/>
      <c r="I292" s="379"/>
      <c r="J292" s="379"/>
      <c r="K292" s="379"/>
      <c r="L292" s="379"/>
      <c r="M292" s="379"/>
      <c r="N292" s="379"/>
      <c r="O292" s="379"/>
      <c r="P292" s="379"/>
      <c r="Q292" s="379"/>
      <c r="R292" s="379"/>
      <c r="S292" s="379"/>
      <c r="T292" s="379"/>
      <c r="U292" s="101"/>
      <c r="V292" s="101"/>
      <c r="W292" s="101"/>
      <c r="X292" s="101"/>
      <c r="Y292" s="101"/>
    </row>
    <row r="293" spans="1:25" x14ac:dyDescent="0.2">
      <c r="A293" s="219">
        <v>222</v>
      </c>
      <c r="B293" s="36"/>
      <c r="C293" s="9"/>
      <c r="D293" s="9" t="s">
        <v>320</v>
      </c>
      <c r="E293" s="18" t="s">
        <v>321</v>
      </c>
      <c r="F293" s="155" t="s">
        <v>317</v>
      </c>
      <c r="G293" s="294"/>
      <c r="H293" s="260"/>
      <c r="I293" s="379"/>
      <c r="J293" s="379"/>
      <c r="K293" s="379"/>
      <c r="L293" s="379"/>
      <c r="M293" s="379"/>
      <c r="N293" s="379"/>
      <c r="O293" s="379"/>
      <c r="P293" s="379"/>
      <c r="Q293" s="379"/>
      <c r="R293" s="379"/>
      <c r="S293" s="379"/>
      <c r="T293" s="379"/>
      <c r="U293" s="101"/>
      <c r="V293" s="101"/>
      <c r="W293" s="101"/>
      <c r="X293" s="101"/>
      <c r="Y293" s="101"/>
    </row>
    <row r="294" spans="1:25" x14ac:dyDescent="0.2">
      <c r="A294" s="219">
        <v>223</v>
      </c>
      <c r="B294" s="36"/>
      <c r="C294" s="9"/>
      <c r="D294" s="9" t="s">
        <v>207</v>
      </c>
      <c r="E294" s="18" t="s">
        <v>177</v>
      </c>
      <c r="F294" s="155" t="s">
        <v>317</v>
      </c>
      <c r="G294" s="294"/>
      <c r="H294" s="260"/>
      <c r="I294" s="379"/>
      <c r="J294" s="379"/>
      <c r="K294" s="379"/>
      <c r="L294" s="379"/>
      <c r="M294" s="379"/>
      <c r="N294" s="379"/>
      <c r="O294" s="379"/>
      <c r="P294" s="379"/>
      <c r="Q294" s="379"/>
      <c r="R294" s="379"/>
      <c r="S294" s="379"/>
      <c r="T294" s="379"/>
      <c r="U294" s="101"/>
      <c r="V294" s="101"/>
      <c r="W294" s="101"/>
      <c r="X294" s="101"/>
      <c r="Y294" s="101"/>
    </row>
    <row r="295" spans="1:25" x14ac:dyDescent="0.2">
      <c r="A295" s="219">
        <v>224</v>
      </c>
      <c r="B295" s="36"/>
      <c r="C295" s="9"/>
      <c r="D295" s="9" t="s">
        <v>322</v>
      </c>
      <c r="E295" s="18" t="s">
        <v>292</v>
      </c>
      <c r="F295" s="155" t="s">
        <v>317</v>
      </c>
      <c r="G295" s="294"/>
      <c r="H295" s="260"/>
      <c r="I295" s="379"/>
      <c r="J295" s="379"/>
      <c r="K295" s="379"/>
      <c r="L295" s="379"/>
      <c r="M295" s="379"/>
      <c r="N295" s="379"/>
      <c r="O295" s="379"/>
      <c r="P295" s="379"/>
      <c r="Q295" s="379"/>
      <c r="R295" s="379"/>
      <c r="S295" s="379"/>
      <c r="T295" s="379"/>
      <c r="U295" s="101"/>
      <c r="V295" s="101"/>
      <c r="W295" s="101"/>
      <c r="X295" s="101"/>
      <c r="Y295" s="101"/>
    </row>
    <row r="296" spans="1:25" x14ac:dyDescent="0.2">
      <c r="A296" s="219">
        <v>225</v>
      </c>
      <c r="B296" s="36"/>
      <c r="C296" s="9"/>
      <c r="D296" s="9" t="s">
        <v>180</v>
      </c>
      <c r="E296" s="18" t="s">
        <v>181</v>
      </c>
      <c r="F296" s="155" t="s">
        <v>317</v>
      </c>
      <c r="G296" s="294"/>
      <c r="H296" s="260"/>
      <c r="I296" s="379"/>
      <c r="J296" s="379"/>
      <c r="K296" s="379"/>
      <c r="L296" s="379"/>
      <c r="M296" s="379"/>
      <c r="N296" s="379"/>
      <c r="O296" s="379"/>
      <c r="P296" s="379"/>
      <c r="Q296" s="379"/>
      <c r="R296" s="379"/>
      <c r="S296" s="379"/>
      <c r="T296" s="379"/>
      <c r="U296" s="101"/>
      <c r="V296" s="101"/>
      <c r="W296" s="101"/>
      <c r="X296" s="101"/>
      <c r="Y296" s="101"/>
    </row>
    <row r="297" spans="1:25" x14ac:dyDescent="0.2">
      <c r="A297" s="219">
        <v>226</v>
      </c>
      <c r="B297" s="36"/>
      <c r="C297" s="9"/>
      <c r="D297" s="9" t="s">
        <v>182</v>
      </c>
      <c r="E297" s="18" t="s">
        <v>183</v>
      </c>
      <c r="F297" s="155" t="s">
        <v>317</v>
      </c>
      <c r="G297" s="294"/>
      <c r="H297" s="260"/>
      <c r="I297" s="379"/>
      <c r="J297" s="379"/>
      <c r="K297" s="379"/>
      <c r="L297" s="379"/>
      <c r="M297" s="379"/>
      <c r="N297" s="379"/>
      <c r="O297" s="379"/>
      <c r="P297" s="379"/>
      <c r="Q297" s="379"/>
      <c r="R297" s="379"/>
      <c r="S297" s="379"/>
      <c r="T297" s="379"/>
      <c r="U297" s="101"/>
      <c r="V297" s="101"/>
      <c r="W297" s="101"/>
      <c r="X297" s="101"/>
      <c r="Y297" s="101"/>
    </row>
    <row r="298" spans="1:25" x14ac:dyDescent="0.2">
      <c r="A298" s="219">
        <v>227</v>
      </c>
      <c r="B298" s="36"/>
      <c r="C298" s="9"/>
      <c r="D298" s="9" t="s">
        <v>184</v>
      </c>
      <c r="E298" s="18" t="s">
        <v>185</v>
      </c>
      <c r="F298" s="155" t="s">
        <v>314</v>
      </c>
      <c r="G298" s="294"/>
      <c r="H298" s="260"/>
      <c r="I298" s="379"/>
      <c r="J298" s="379"/>
      <c r="K298" s="379"/>
      <c r="L298" s="379"/>
      <c r="M298" s="379"/>
      <c r="N298" s="379"/>
      <c r="O298" s="379"/>
      <c r="P298" s="379"/>
      <c r="Q298" s="379"/>
      <c r="R298" s="379"/>
      <c r="S298" s="379"/>
      <c r="T298" s="379"/>
      <c r="U298" s="101"/>
      <c r="V298" s="101"/>
      <c r="W298" s="101"/>
      <c r="X298" s="101"/>
      <c r="Y298" s="101"/>
    </row>
    <row r="299" spans="1:25" x14ac:dyDescent="0.2">
      <c r="A299" s="219">
        <v>228</v>
      </c>
      <c r="B299" s="36"/>
      <c r="C299" s="9"/>
      <c r="D299" s="9" t="s">
        <v>186</v>
      </c>
      <c r="E299" s="18" t="s">
        <v>187</v>
      </c>
      <c r="F299" s="155" t="s">
        <v>314</v>
      </c>
      <c r="G299" s="294"/>
      <c r="H299" s="260"/>
      <c r="I299" s="379"/>
      <c r="J299" s="379"/>
      <c r="K299" s="379"/>
      <c r="L299" s="379"/>
      <c r="M299" s="379"/>
      <c r="N299" s="379"/>
      <c r="O299" s="379"/>
      <c r="P299" s="379"/>
      <c r="Q299" s="379"/>
      <c r="R299" s="379"/>
      <c r="S299" s="379"/>
      <c r="T299" s="379"/>
      <c r="U299" s="101"/>
      <c r="V299" s="101"/>
      <c r="W299" s="101"/>
      <c r="X299" s="101"/>
      <c r="Y299" s="101"/>
    </row>
    <row r="300" spans="1:25" x14ac:dyDescent="0.2">
      <c r="A300" s="219">
        <v>229</v>
      </c>
      <c r="B300" s="36"/>
      <c r="C300" s="9"/>
      <c r="D300" s="9" t="s">
        <v>188</v>
      </c>
      <c r="E300" s="18" t="s">
        <v>189</v>
      </c>
      <c r="F300" s="155" t="s">
        <v>314</v>
      </c>
      <c r="G300" s="294"/>
      <c r="H300" s="260"/>
      <c r="I300" s="379"/>
      <c r="J300" s="379"/>
      <c r="K300" s="379"/>
      <c r="L300" s="379"/>
      <c r="M300" s="379"/>
      <c r="N300" s="379"/>
      <c r="O300" s="379"/>
      <c r="P300" s="379"/>
      <c r="Q300" s="379"/>
      <c r="R300" s="379"/>
      <c r="S300" s="379"/>
      <c r="T300" s="379"/>
      <c r="U300" s="101"/>
      <c r="V300" s="101"/>
      <c r="W300" s="101"/>
      <c r="X300" s="101"/>
      <c r="Y300" s="101"/>
    </row>
    <row r="301" spans="1:25" x14ac:dyDescent="0.2">
      <c r="A301" s="219">
        <v>230</v>
      </c>
      <c r="B301" s="36"/>
      <c r="C301" s="9"/>
      <c r="D301" s="9" t="s">
        <v>190</v>
      </c>
      <c r="E301" s="18" t="s">
        <v>191</v>
      </c>
      <c r="F301" s="155" t="s">
        <v>314</v>
      </c>
      <c r="G301" s="294"/>
      <c r="H301" s="260"/>
      <c r="I301" s="379"/>
      <c r="J301" s="379"/>
      <c r="K301" s="379"/>
      <c r="L301" s="379"/>
      <c r="M301" s="379"/>
      <c r="N301" s="379"/>
      <c r="O301" s="379"/>
      <c r="P301" s="379"/>
      <c r="Q301" s="379"/>
      <c r="R301" s="379"/>
      <c r="S301" s="379"/>
      <c r="T301" s="379"/>
      <c r="U301" s="101"/>
      <c r="V301" s="101"/>
      <c r="W301" s="101"/>
      <c r="X301" s="101"/>
      <c r="Y301" s="101"/>
    </row>
    <row r="302" spans="1:25" x14ac:dyDescent="0.2">
      <c r="A302" s="219">
        <v>231</v>
      </c>
      <c r="B302" s="36"/>
      <c r="C302" s="9"/>
      <c r="D302" s="9" t="s">
        <v>192</v>
      </c>
      <c r="E302" s="18" t="s">
        <v>193</v>
      </c>
      <c r="F302" s="155" t="s">
        <v>314</v>
      </c>
      <c r="G302" s="294"/>
      <c r="H302" s="260"/>
      <c r="I302" s="379"/>
      <c r="J302" s="379"/>
      <c r="K302" s="379"/>
      <c r="L302" s="379"/>
      <c r="M302" s="379"/>
      <c r="N302" s="379"/>
      <c r="O302" s="379"/>
      <c r="P302" s="379"/>
      <c r="Q302" s="379"/>
      <c r="R302" s="379"/>
      <c r="S302" s="379"/>
      <c r="T302" s="379"/>
      <c r="U302" s="101"/>
      <c r="V302" s="101"/>
      <c r="W302" s="101"/>
      <c r="X302" s="101"/>
      <c r="Y302" s="101"/>
    </row>
    <row r="303" spans="1:25" x14ac:dyDescent="0.2">
      <c r="A303" s="219">
        <v>232</v>
      </c>
      <c r="B303" s="36"/>
      <c r="C303" s="9"/>
      <c r="D303" s="9" t="s">
        <v>194</v>
      </c>
      <c r="E303" s="18" t="s">
        <v>195</v>
      </c>
      <c r="F303" s="155" t="s">
        <v>314</v>
      </c>
      <c r="G303" s="294"/>
      <c r="H303" s="260"/>
      <c r="I303" s="379"/>
      <c r="J303" s="379"/>
      <c r="K303" s="379"/>
      <c r="L303" s="379"/>
      <c r="M303" s="379"/>
      <c r="N303" s="379"/>
      <c r="O303" s="379"/>
      <c r="P303" s="379"/>
      <c r="Q303" s="379"/>
      <c r="R303" s="379"/>
      <c r="S303" s="379"/>
      <c r="T303" s="379"/>
      <c r="U303" s="101"/>
      <c r="V303" s="101"/>
      <c r="W303" s="101"/>
      <c r="X303" s="101"/>
      <c r="Y303" s="101"/>
    </row>
    <row r="304" spans="1:25" x14ac:dyDescent="0.2">
      <c r="A304" s="219">
        <v>233</v>
      </c>
      <c r="B304" s="36"/>
      <c r="C304" s="85" t="s">
        <v>196</v>
      </c>
      <c r="D304" s="9"/>
      <c r="E304" s="18"/>
      <c r="F304" s="155"/>
      <c r="G304" s="294"/>
      <c r="H304" s="260"/>
      <c r="I304" s="379"/>
      <c r="J304" s="379"/>
      <c r="K304" s="379"/>
      <c r="L304" s="379"/>
      <c r="M304" s="379"/>
      <c r="N304" s="379"/>
      <c r="O304" s="379"/>
      <c r="P304" s="379"/>
      <c r="Q304" s="379"/>
      <c r="R304" s="379"/>
      <c r="S304" s="379"/>
      <c r="T304" s="379"/>
      <c r="U304" s="101"/>
      <c r="V304" s="101"/>
      <c r="W304" s="101"/>
      <c r="X304" s="101"/>
      <c r="Y304" s="101"/>
    </row>
    <row r="305" spans="1:25" x14ac:dyDescent="0.2">
      <c r="A305" s="219">
        <v>234</v>
      </c>
      <c r="B305" s="36"/>
      <c r="C305" s="85"/>
      <c r="D305" s="9"/>
      <c r="E305" s="18"/>
      <c r="F305" s="155"/>
      <c r="G305" s="294"/>
      <c r="H305" s="260"/>
      <c r="I305" s="379"/>
      <c r="J305" s="379"/>
      <c r="K305" s="379"/>
      <c r="L305" s="379"/>
      <c r="M305" s="379"/>
      <c r="N305" s="379"/>
      <c r="O305" s="379"/>
      <c r="P305" s="379"/>
      <c r="Q305" s="379"/>
      <c r="R305" s="379"/>
      <c r="S305" s="379"/>
      <c r="T305" s="379"/>
      <c r="U305" s="101"/>
      <c r="V305" s="101"/>
      <c r="W305" s="101"/>
      <c r="X305" s="101"/>
      <c r="Y305" s="101"/>
    </row>
    <row r="306" spans="1:25" x14ac:dyDescent="0.2">
      <c r="A306" s="219">
        <v>235</v>
      </c>
      <c r="B306" s="83"/>
      <c r="D306" s="13"/>
      <c r="E306" s="14"/>
      <c r="F306" s="163"/>
      <c r="G306" s="306"/>
      <c r="H306" s="275"/>
      <c r="I306" s="379"/>
      <c r="J306" s="379"/>
      <c r="K306" s="379"/>
      <c r="L306" s="379"/>
      <c r="M306" s="379"/>
      <c r="N306" s="379"/>
      <c r="O306" s="379"/>
      <c r="P306" s="379"/>
      <c r="Q306" s="379"/>
      <c r="R306" s="379"/>
      <c r="S306" s="379"/>
      <c r="T306" s="379"/>
      <c r="U306" s="101"/>
      <c r="V306" s="101"/>
      <c r="W306" s="101"/>
      <c r="X306" s="101"/>
      <c r="Y306" s="101"/>
    </row>
    <row r="307" spans="1:25" ht="15" x14ac:dyDescent="0.25">
      <c r="A307" s="220">
        <v>236</v>
      </c>
      <c r="B307" s="87" t="s">
        <v>323</v>
      </c>
      <c r="C307" s="51"/>
      <c r="D307" s="51"/>
      <c r="E307" s="49"/>
      <c r="F307" s="159"/>
      <c r="G307" s="297">
        <f>SUM(G288:G306)</f>
        <v>301408.96668956045</v>
      </c>
      <c r="H307" s="263"/>
      <c r="I307" s="379"/>
      <c r="J307" s="379"/>
      <c r="K307" s="379"/>
      <c r="L307" s="379"/>
      <c r="M307" s="379"/>
      <c r="N307" s="379"/>
      <c r="O307" s="379"/>
      <c r="P307" s="379"/>
      <c r="Q307" s="379"/>
      <c r="R307" s="379"/>
      <c r="S307" s="379"/>
      <c r="T307" s="379"/>
      <c r="U307" s="101"/>
      <c r="V307" s="101"/>
      <c r="W307" s="101"/>
      <c r="X307" s="101"/>
      <c r="Y307" s="101"/>
    </row>
    <row r="308" spans="1:25" x14ac:dyDescent="0.2">
      <c r="A308" s="219"/>
      <c r="B308" s="35"/>
      <c r="C308" s="12"/>
      <c r="D308" s="12"/>
      <c r="E308" s="71"/>
      <c r="F308" s="153"/>
      <c r="G308" s="292"/>
      <c r="H308" s="258"/>
      <c r="I308" s="379"/>
      <c r="J308" s="379"/>
      <c r="K308" s="379"/>
      <c r="L308" s="379"/>
      <c r="M308" s="379"/>
      <c r="N308" s="379"/>
      <c r="O308" s="379"/>
      <c r="P308" s="379"/>
      <c r="Q308" s="379"/>
      <c r="R308" s="379"/>
      <c r="S308" s="379"/>
      <c r="T308" s="379"/>
      <c r="U308" s="101"/>
      <c r="V308" s="101"/>
      <c r="W308" s="101"/>
      <c r="X308" s="101"/>
      <c r="Y308" s="101"/>
    </row>
    <row r="309" spans="1:25" s="4" customFormat="1" ht="15" x14ac:dyDescent="0.25">
      <c r="A309" s="219"/>
      <c r="B309" s="88" t="s">
        <v>324</v>
      </c>
      <c r="C309" s="53"/>
      <c r="D309" s="53"/>
      <c r="E309" s="77"/>
      <c r="F309" s="166"/>
      <c r="G309" s="309"/>
      <c r="H309" s="278"/>
      <c r="I309" s="236"/>
      <c r="J309" s="236"/>
      <c r="K309" s="236"/>
      <c r="L309" s="236"/>
      <c r="M309" s="236"/>
      <c r="N309" s="236"/>
      <c r="O309" s="236"/>
      <c r="P309" s="236"/>
      <c r="Q309" s="236"/>
      <c r="R309" s="236"/>
      <c r="S309" s="236"/>
      <c r="T309" s="236"/>
      <c r="U309" s="233"/>
      <c r="V309" s="233"/>
      <c r="W309" s="233"/>
      <c r="X309" s="233"/>
      <c r="Y309" s="233"/>
    </row>
    <row r="310" spans="1:25" ht="15" x14ac:dyDescent="0.25">
      <c r="A310" s="219"/>
      <c r="B310" s="36"/>
      <c r="C310" s="106" t="s">
        <v>325</v>
      </c>
      <c r="D310" s="9"/>
      <c r="E310" s="77"/>
      <c r="F310" s="166"/>
      <c r="G310" s="309"/>
      <c r="H310" s="278"/>
      <c r="I310" s="379"/>
      <c r="J310" s="379"/>
      <c r="K310" s="379"/>
      <c r="L310" s="379"/>
      <c r="M310" s="379"/>
      <c r="N310" s="379"/>
      <c r="O310" s="379"/>
      <c r="P310" s="379"/>
      <c r="Q310" s="379"/>
      <c r="R310" s="379"/>
      <c r="S310" s="379"/>
      <c r="T310" s="379"/>
      <c r="U310" s="101"/>
      <c r="V310" s="101"/>
      <c r="W310" s="101"/>
      <c r="X310" s="101"/>
      <c r="Y310" s="101"/>
    </row>
    <row r="311" spans="1:25" x14ac:dyDescent="0.2">
      <c r="A311" s="219">
        <v>237</v>
      </c>
      <c r="B311" s="36"/>
      <c r="C311" s="9"/>
      <c r="D311" s="9" t="s">
        <v>168</v>
      </c>
      <c r="E311" s="18" t="s">
        <v>169</v>
      </c>
      <c r="F311" s="155" t="s">
        <v>326</v>
      </c>
      <c r="G311" s="294"/>
      <c r="H311" s="269"/>
      <c r="I311" s="379"/>
      <c r="J311" s="379"/>
      <c r="K311" s="379"/>
      <c r="L311" s="379"/>
      <c r="M311" s="379"/>
      <c r="N311" s="379"/>
      <c r="O311" s="379"/>
      <c r="P311" s="379"/>
      <c r="Q311" s="379"/>
      <c r="R311" s="379"/>
      <c r="S311" s="379"/>
      <c r="T311" s="379"/>
      <c r="U311" s="101"/>
      <c r="V311" s="101"/>
      <c r="W311" s="101"/>
      <c r="X311" s="101"/>
      <c r="Y311" s="101"/>
    </row>
    <row r="312" spans="1:25" x14ac:dyDescent="0.2">
      <c r="A312" s="219">
        <v>238</v>
      </c>
      <c r="B312" s="36"/>
      <c r="C312" s="9"/>
      <c r="D312" s="9" t="s">
        <v>327</v>
      </c>
      <c r="E312" s="18" t="s">
        <v>328</v>
      </c>
      <c r="F312" s="155">
        <v>2830</v>
      </c>
      <c r="G312" s="294">
        <v>4548</v>
      </c>
      <c r="H312" s="269" t="s">
        <v>262</v>
      </c>
      <c r="I312" s="379"/>
      <c r="J312" s="379"/>
      <c r="K312" s="379"/>
      <c r="L312" s="379"/>
      <c r="M312" s="379"/>
      <c r="N312" s="379"/>
      <c r="O312" s="379"/>
      <c r="P312" s="379"/>
      <c r="Q312" s="379"/>
      <c r="R312" s="379"/>
      <c r="S312" s="379"/>
      <c r="T312" s="379"/>
      <c r="U312" s="101"/>
      <c r="V312" s="101"/>
      <c r="W312" s="101"/>
      <c r="X312" s="101"/>
      <c r="Y312" s="101"/>
    </row>
    <row r="313" spans="1:25" x14ac:dyDescent="0.2">
      <c r="A313" s="219">
        <v>239</v>
      </c>
      <c r="B313" s="36"/>
      <c r="C313" s="9"/>
      <c r="D313" s="9" t="s">
        <v>51</v>
      </c>
      <c r="E313" s="18" t="s">
        <v>243</v>
      </c>
      <c r="F313" s="155" t="s">
        <v>329</v>
      </c>
      <c r="G313" s="294">
        <v>4664</v>
      </c>
      <c r="H313" s="269" t="s">
        <v>262</v>
      </c>
      <c r="I313" s="379"/>
      <c r="J313" s="379"/>
      <c r="K313" s="379"/>
      <c r="L313" s="379"/>
      <c r="M313" s="379"/>
      <c r="N313" s="379"/>
      <c r="O313" s="379"/>
      <c r="P313" s="379"/>
      <c r="Q313" s="379"/>
      <c r="R313" s="379"/>
      <c r="S313" s="379"/>
      <c r="T313" s="379"/>
      <c r="U313" s="101"/>
      <c r="V313" s="101"/>
      <c r="W313" s="101"/>
      <c r="X313" s="101"/>
      <c r="Y313" s="101"/>
    </row>
    <row r="314" spans="1:25" x14ac:dyDescent="0.2">
      <c r="A314" s="219">
        <v>240</v>
      </c>
      <c r="B314" s="36"/>
      <c r="C314" s="9" t="s">
        <v>330</v>
      </c>
      <c r="D314" s="9"/>
      <c r="E314" s="104" t="s">
        <v>212</v>
      </c>
      <c r="F314" s="169" t="s">
        <v>326</v>
      </c>
      <c r="G314" s="312"/>
      <c r="H314" s="269"/>
      <c r="I314" s="379"/>
      <c r="J314" s="379"/>
      <c r="K314" s="379"/>
      <c r="L314" s="379"/>
      <c r="M314" s="379"/>
      <c r="N314" s="379"/>
      <c r="O314" s="379"/>
      <c r="P314" s="379"/>
      <c r="Q314" s="379"/>
      <c r="R314" s="379"/>
      <c r="S314" s="379"/>
      <c r="T314" s="379"/>
      <c r="U314" s="101"/>
      <c r="V314" s="101"/>
      <c r="W314" s="101"/>
      <c r="X314" s="101"/>
      <c r="Y314" s="101"/>
    </row>
    <row r="315" spans="1:25" x14ac:dyDescent="0.2">
      <c r="A315" s="219">
        <v>241</v>
      </c>
      <c r="B315" s="36"/>
      <c r="C315" s="9" t="s">
        <v>184</v>
      </c>
      <c r="D315" s="9"/>
      <c r="E315" s="18" t="s">
        <v>185</v>
      </c>
      <c r="F315" s="155" t="s">
        <v>326</v>
      </c>
      <c r="G315" s="294"/>
      <c r="H315" s="269"/>
      <c r="I315" s="379"/>
      <c r="J315" s="379"/>
      <c r="K315" s="379"/>
      <c r="L315" s="379"/>
      <c r="M315" s="379"/>
      <c r="N315" s="379"/>
      <c r="O315" s="379"/>
      <c r="P315" s="379"/>
      <c r="Q315" s="379"/>
      <c r="R315" s="379"/>
      <c r="S315" s="379"/>
      <c r="T315" s="379"/>
      <c r="U315" s="101"/>
      <c r="V315" s="101"/>
      <c r="W315" s="101"/>
      <c r="X315" s="101"/>
      <c r="Y315" s="101"/>
    </row>
    <row r="316" spans="1:25" x14ac:dyDescent="0.2">
      <c r="A316" s="219">
        <v>242</v>
      </c>
      <c r="B316" s="36"/>
      <c r="C316" s="9" t="s">
        <v>186</v>
      </c>
      <c r="D316" s="9"/>
      <c r="E316" s="18" t="s">
        <v>187</v>
      </c>
      <c r="F316" s="155" t="s">
        <v>326</v>
      </c>
      <c r="G316" s="294"/>
      <c r="H316" s="260"/>
      <c r="I316" s="379"/>
      <c r="J316" s="379"/>
      <c r="K316" s="379"/>
      <c r="L316" s="379"/>
      <c r="M316" s="379"/>
      <c r="N316" s="379"/>
      <c r="O316" s="379"/>
      <c r="P316" s="379"/>
      <c r="Q316" s="379"/>
      <c r="R316" s="379"/>
      <c r="S316" s="379"/>
      <c r="T316" s="379"/>
      <c r="U316" s="101"/>
      <c r="V316" s="101"/>
      <c r="W316" s="101"/>
      <c r="X316" s="101"/>
      <c r="Y316" s="101"/>
    </row>
    <row r="317" spans="1:25" x14ac:dyDescent="0.2">
      <c r="A317" s="219">
        <v>243</v>
      </c>
      <c r="B317" s="36"/>
      <c r="C317" s="9" t="s">
        <v>188</v>
      </c>
      <c r="D317" s="9"/>
      <c r="E317" s="18" t="s">
        <v>189</v>
      </c>
      <c r="F317" s="155" t="s">
        <v>326</v>
      </c>
      <c r="G317" s="294"/>
      <c r="H317" s="269"/>
      <c r="I317" s="379"/>
      <c r="J317" s="379"/>
      <c r="K317" s="379"/>
      <c r="L317" s="379"/>
      <c r="M317" s="379"/>
      <c r="N317" s="379"/>
      <c r="O317" s="379"/>
      <c r="P317" s="379"/>
      <c r="Q317" s="379"/>
      <c r="R317" s="379"/>
      <c r="S317" s="379"/>
      <c r="T317" s="379"/>
      <c r="U317" s="101"/>
      <c r="V317" s="101"/>
      <c r="W317" s="101"/>
      <c r="X317" s="101"/>
      <c r="Y317" s="101"/>
    </row>
    <row r="318" spans="1:25" x14ac:dyDescent="0.2">
      <c r="A318" s="219">
        <v>244</v>
      </c>
      <c r="B318" s="36"/>
      <c r="C318" s="9" t="s">
        <v>190</v>
      </c>
      <c r="D318" s="9"/>
      <c r="E318" s="18" t="s">
        <v>191</v>
      </c>
      <c r="F318" s="155" t="s">
        <v>326</v>
      </c>
      <c r="G318" s="294"/>
      <c r="H318" s="269"/>
      <c r="I318" s="379"/>
      <c r="J318" s="379"/>
      <c r="K318" s="379"/>
      <c r="L318" s="379"/>
      <c r="M318" s="379"/>
      <c r="N318" s="379"/>
      <c r="O318" s="379"/>
      <c r="P318" s="379"/>
      <c r="Q318" s="379"/>
      <c r="R318" s="379"/>
      <c r="S318" s="379"/>
      <c r="T318" s="379"/>
      <c r="U318" s="101"/>
      <c r="V318" s="101"/>
      <c r="W318" s="101"/>
      <c r="X318" s="101"/>
      <c r="Y318" s="101"/>
    </row>
    <row r="319" spans="1:25" x14ac:dyDescent="0.2">
      <c r="A319" s="219">
        <v>245</v>
      </c>
      <c r="B319" s="36"/>
      <c r="C319" s="9" t="s">
        <v>192</v>
      </c>
      <c r="D319" s="9"/>
      <c r="E319" s="18" t="s">
        <v>193</v>
      </c>
      <c r="F319" s="155" t="s">
        <v>326</v>
      </c>
      <c r="G319" s="294"/>
      <c r="H319" s="269"/>
      <c r="I319" s="379"/>
      <c r="J319" s="379"/>
      <c r="K319" s="379"/>
      <c r="L319" s="379"/>
      <c r="M319" s="379"/>
      <c r="N319" s="379"/>
      <c r="O319" s="379"/>
      <c r="P319" s="379"/>
      <c r="Q319" s="379"/>
      <c r="R319" s="379"/>
      <c r="S319" s="379"/>
      <c r="T319" s="379"/>
      <c r="U319" s="101"/>
      <c r="V319" s="101"/>
      <c r="W319" s="101"/>
      <c r="X319" s="101"/>
      <c r="Y319" s="101"/>
    </row>
    <row r="320" spans="1:25" x14ac:dyDescent="0.2">
      <c r="A320" s="219">
        <v>246</v>
      </c>
      <c r="B320" s="36"/>
      <c r="C320" s="9" t="s">
        <v>194</v>
      </c>
      <c r="D320" s="9"/>
      <c r="E320" s="18" t="s">
        <v>195</v>
      </c>
      <c r="F320" s="155" t="s">
        <v>326</v>
      </c>
      <c r="G320" s="294"/>
      <c r="H320" s="269"/>
      <c r="I320" s="379"/>
      <c r="J320" s="379"/>
      <c r="K320" s="379"/>
      <c r="L320" s="379"/>
      <c r="M320" s="379"/>
      <c r="N320" s="379"/>
      <c r="O320" s="379"/>
      <c r="P320" s="379"/>
      <c r="Q320" s="379"/>
      <c r="R320" s="379"/>
      <c r="S320" s="379"/>
      <c r="T320" s="379"/>
      <c r="U320" s="101"/>
      <c r="V320" s="101"/>
      <c r="W320" s="101"/>
      <c r="X320" s="101"/>
      <c r="Y320" s="101"/>
    </row>
    <row r="321" spans="1:25" x14ac:dyDescent="0.2">
      <c r="A321" s="219">
        <v>247</v>
      </c>
      <c r="B321" s="36"/>
      <c r="C321" s="85"/>
      <c r="D321" s="9"/>
      <c r="E321" s="18"/>
      <c r="F321" s="155"/>
      <c r="G321" s="294"/>
      <c r="H321" s="260"/>
      <c r="I321" s="379"/>
      <c r="J321" s="379"/>
      <c r="K321" s="379"/>
      <c r="L321" s="379"/>
      <c r="M321" s="379"/>
      <c r="N321" s="379"/>
      <c r="O321" s="379"/>
      <c r="P321" s="379"/>
      <c r="Q321" s="379"/>
      <c r="R321" s="379"/>
      <c r="S321" s="379"/>
      <c r="T321" s="379"/>
      <c r="U321" s="101"/>
      <c r="V321" s="101"/>
      <c r="W321" s="101"/>
      <c r="X321" s="101"/>
      <c r="Y321" s="101"/>
    </row>
    <row r="322" spans="1:25" x14ac:dyDescent="0.2">
      <c r="A322" s="219">
        <v>248</v>
      </c>
      <c r="B322" s="83"/>
      <c r="D322" s="13"/>
      <c r="E322" s="14"/>
      <c r="F322" s="163"/>
      <c r="G322" s="306"/>
      <c r="H322" s="275"/>
      <c r="I322" s="379"/>
      <c r="J322" s="379"/>
      <c r="K322" s="379"/>
      <c r="L322" s="379"/>
      <c r="M322" s="379"/>
      <c r="N322" s="379"/>
      <c r="O322" s="379"/>
      <c r="P322" s="379"/>
      <c r="Q322" s="379"/>
      <c r="R322" s="379"/>
      <c r="S322" s="379"/>
      <c r="T322" s="379"/>
      <c r="U322" s="101"/>
      <c r="V322" s="101"/>
      <c r="W322" s="101"/>
      <c r="X322" s="101"/>
      <c r="Y322" s="101"/>
    </row>
    <row r="323" spans="1:25" ht="15" x14ac:dyDescent="0.25">
      <c r="A323" s="220">
        <v>249</v>
      </c>
      <c r="B323" s="87" t="s">
        <v>331</v>
      </c>
      <c r="C323" s="51"/>
      <c r="D323" s="51"/>
      <c r="E323" s="49"/>
      <c r="F323" s="159"/>
      <c r="G323" s="297">
        <f>SUM(G310:G322)</f>
        <v>9212</v>
      </c>
      <c r="H323" s="263"/>
      <c r="I323" s="379"/>
      <c r="J323" s="379"/>
      <c r="K323" s="379"/>
      <c r="L323" s="379"/>
      <c r="M323" s="379"/>
      <c r="N323" s="379"/>
      <c r="O323" s="379"/>
      <c r="P323" s="379"/>
      <c r="Q323" s="379"/>
      <c r="R323" s="379"/>
      <c r="S323" s="379"/>
      <c r="T323" s="379"/>
      <c r="U323" s="101"/>
      <c r="V323" s="101"/>
      <c r="W323" s="101"/>
      <c r="X323" s="101"/>
      <c r="Y323" s="101"/>
    </row>
    <row r="324" spans="1:25" s="13" customFormat="1" ht="15" x14ac:dyDescent="0.25">
      <c r="A324" s="217"/>
      <c r="B324" s="81"/>
      <c r="C324" s="58"/>
      <c r="D324" s="58"/>
      <c r="E324" s="22"/>
      <c r="F324" s="158"/>
      <c r="G324" s="295"/>
      <c r="H324" s="261"/>
      <c r="I324" s="379"/>
      <c r="J324" s="379"/>
      <c r="K324" s="379"/>
      <c r="L324" s="379"/>
      <c r="M324" s="379"/>
      <c r="N324" s="379"/>
      <c r="O324" s="379"/>
      <c r="P324" s="379"/>
      <c r="Q324" s="379"/>
      <c r="R324" s="379"/>
      <c r="S324" s="379"/>
      <c r="T324" s="379"/>
      <c r="U324" s="101"/>
      <c r="V324" s="101"/>
      <c r="W324" s="101"/>
      <c r="X324" s="101"/>
      <c r="Y324" s="101"/>
    </row>
    <row r="325" spans="1:25" s="13" customFormat="1" ht="15.75" thickBot="1" x14ac:dyDescent="0.3">
      <c r="A325" s="216"/>
      <c r="B325" s="34"/>
      <c r="C325" s="20"/>
      <c r="D325" s="20"/>
      <c r="E325" s="14"/>
      <c r="F325" s="163"/>
      <c r="G325" s="306"/>
      <c r="H325" s="275"/>
      <c r="I325" s="379"/>
      <c r="J325" s="379"/>
      <c r="K325" s="379"/>
      <c r="L325" s="379"/>
      <c r="M325" s="379"/>
      <c r="N325" s="379"/>
      <c r="O325" s="379"/>
      <c r="P325" s="379"/>
      <c r="Q325" s="379"/>
      <c r="R325" s="379"/>
      <c r="S325" s="379"/>
      <c r="T325" s="379"/>
      <c r="U325" s="101"/>
      <c r="V325" s="101"/>
      <c r="W325" s="101"/>
      <c r="X325" s="101"/>
      <c r="Y325" s="101"/>
    </row>
    <row r="326" spans="1:25" ht="15.75" thickBot="1" x14ac:dyDescent="0.3">
      <c r="A326" s="380">
        <v>250</v>
      </c>
      <c r="B326" s="75" t="s">
        <v>332</v>
      </c>
      <c r="C326" s="76"/>
      <c r="D326" s="76"/>
      <c r="E326" s="45"/>
      <c r="F326" s="162"/>
      <c r="G326" s="303">
        <f>+G171+G188+G203+G228+G253+G285+G307+G323</f>
        <v>2429634.2985421489</v>
      </c>
      <c r="H326" s="279"/>
      <c r="I326" s="379"/>
      <c r="J326" s="379"/>
      <c r="K326" s="379"/>
      <c r="L326" s="379"/>
      <c r="M326" s="379"/>
      <c r="N326" s="379"/>
      <c r="O326" s="379"/>
      <c r="P326" s="379"/>
      <c r="Q326" s="379"/>
      <c r="R326" s="379"/>
      <c r="S326" s="379"/>
      <c r="T326" s="379"/>
      <c r="U326" s="101"/>
      <c r="V326" s="101"/>
      <c r="W326" s="101"/>
      <c r="X326" s="101"/>
      <c r="Y326" s="101"/>
    </row>
    <row r="327" spans="1:25" ht="15" thickBot="1" x14ac:dyDescent="0.25">
      <c r="A327" s="224"/>
      <c r="B327" s="35"/>
      <c r="C327" s="12"/>
      <c r="D327" s="12"/>
      <c r="E327" s="97"/>
      <c r="F327" s="160"/>
      <c r="G327" s="301"/>
      <c r="H327" s="282"/>
      <c r="I327" s="379"/>
      <c r="J327" s="379"/>
      <c r="K327" s="379"/>
      <c r="L327" s="379"/>
      <c r="M327" s="379"/>
      <c r="N327" s="379"/>
      <c r="O327" s="379"/>
      <c r="P327" s="379"/>
      <c r="Q327" s="379"/>
      <c r="R327" s="379"/>
      <c r="S327" s="379"/>
      <c r="T327" s="379"/>
      <c r="U327" s="101"/>
      <c r="V327" s="101"/>
      <c r="W327" s="101"/>
      <c r="X327" s="101"/>
      <c r="Y327" s="101"/>
    </row>
    <row r="328" spans="1:25" ht="15.75" thickBot="1" x14ac:dyDescent="0.3">
      <c r="A328" s="225"/>
      <c r="B328" s="75" t="s">
        <v>333</v>
      </c>
      <c r="C328" s="76"/>
      <c r="D328" s="76"/>
      <c r="E328" s="121"/>
      <c r="F328" s="170"/>
      <c r="G328" s="313"/>
      <c r="H328" s="283"/>
      <c r="I328" s="379"/>
      <c r="J328" s="379"/>
      <c r="K328" s="379"/>
      <c r="L328" s="379"/>
      <c r="M328" s="379"/>
      <c r="N328" s="379"/>
      <c r="O328" s="379"/>
      <c r="P328" s="379"/>
      <c r="Q328" s="379"/>
      <c r="R328" s="379"/>
      <c r="S328" s="379"/>
      <c r="T328" s="379"/>
      <c r="U328" s="101"/>
      <c r="V328" s="101"/>
      <c r="W328" s="101"/>
      <c r="X328" s="101"/>
      <c r="Y328" s="101"/>
    </row>
    <row r="329" spans="1:25" s="4" customFormat="1" ht="15" x14ac:dyDescent="0.25">
      <c r="A329" s="219"/>
      <c r="B329" s="88" t="s">
        <v>334</v>
      </c>
      <c r="C329" s="53"/>
      <c r="D329" s="53"/>
      <c r="E329" s="77"/>
      <c r="F329" s="166"/>
      <c r="G329" s="309"/>
      <c r="H329" s="278"/>
      <c r="I329" s="236"/>
      <c r="J329" s="236"/>
      <c r="K329" s="236"/>
      <c r="L329" s="236"/>
      <c r="M329" s="236"/>
      <c r="N329" s="236"/>
      <c r="O329" s="236"/>
      <c r="P329" s="236"/>
      <c r="Q329" s="236"/>
      <c r="R329" s="236"/>
      <c r="S329" s="236"/>
      <c r="T329" s="236"/>
      <c r="U329" s="233"/>
      <c r="V329" s="233"/>
      <c r="W329" s="233"/>
      <c r="X329" s="233"/>
      <c r="Y329" s="233"/>
    </row>
    <row r="330" spans="1:25" x14ac:dyDescent="0.2">
      <c r="A330" s="219">
        <v>251</v>
      </c>
      <c r="B330" s="36"/>
      <c r="C330" s="9" t="s">
        <v>335</v>
      </c>
      <c r="D330" s="9"/>
      <c r="E330" s="18" t="s">
        <v>272</v>
      </c>
      <c r="F330" s="155">
        <v>3100</v>
      </c>
      <c r="G330" s="294"/>
      <c r="H330" s="260"/>
      <c r="I330" s="379"/>
      <c r="J330" s="379"/>
      <c r="K330" s="379"/>
      <c r="L330" s="379"/>
      <c r="M330" s="379"/>
      <c r="N330" s="379"/>
      <c r="O330" s="379"/>
      <c r="P330" s="379"/>
      <c r="Q330" s="379"/>
      <c r="R330" s="379"/>
      <c r="S330" s="379"/>
      <c r="T330" s="379"/>
      <c r="U330" s="101"/>
      <c r="V330" s="101"/>
      <c r="W330" s="101"/>
      <c r="X330" s="101"/>
      <c r="Y330" s="101"/>
    </row>
    <row r="331" spans="1:25" x14ac:dyDescent="0.2">
      <c r="A331" s="219">
        <v>252</v>
      </c>
      <c r="B331" s="36"/>
      <c r="C331" s="9" t="s">
        <v>336</v>
      </c>
      <c r="D331" s="9"/>
      <c r="E331" s="18" t="s">
        <v>308</v>
      </c>
      <c r="F331" s="155" t="s">
        <v>337</v>
      </c>
      <c r="G331" s="294"/>
      <c r="H331" s="260"/>
      <c r="I331" s="379"/>
      <c r="J331" s="379"/>
      <c r="K331" s="379"/>
      <c r="L331" s="379"/>
      <c r="M331" s="379"/>
      <c r="N331" s="379"/>
      <c r="O331" s="379"/>
      <c r="P331" s="379"/>
      <c r="Q331" s="379"/>
      <c r="R331" s="379"/>
      <c r="S331" s="379"/>
      <c r="T331" s="379"/>
      <c r="U331" s="101"/>
      <c r="V331" s="101"/>
      <c r="W331" s="101"/>
      <c r="X331" s="101"/>
      <c r="Y331" s="101"/>
    </row>
    <row r="332" spans="1:25" x14ac:dyDescent="0.2">
      <c r="A332" s="219">
        <v>253</v>
      </c>
      <c r="B332" s="36"/>
      <c r="C332" s="9" t="s">
        <v>338</v>
      </c>
      <c r="D332" s="9"/>
      <c r="E332" s="18" t="s">
        <v>339</v>
      </c>
      <c r="F332" s="155" t="s">
        <v>337</v>
      </c>
      <c r="G332" s="294">
        <v>276649</v>
      </c>
      <c r="H332" s="269" t="s">
        <v>262</v>
      </c>
      <c r="I332" s="379"/>
      <c r="J332" s="379"/>
      <c r="K332" s="379"/>
      <c r="L332" s="379"/>
      <c r="M332" s="379"/>
      <c r="N332" s="379"/>
      <c r="O332" s="379"/>
      <c r="P332" s="379"/>
      <c r="Q332" s="379"/>
      <c r="R332" s="379"/>
      <c r="S332" s="379"/>
      <c r="T332" s="379"/>
      <c r="U332" s="101"/>
      <c r="V332" s="101"/>
      <c r="W332" s="101"/>
      <c r="X332" s="101"/>
      <c r="Y332" s="101"/>
    </row>
    <row r="333" spans="1:25" x14ac:dyDescent="0.2">
      <c r="A333" s="219">
        <v>254</v>
      </c>
      <c r="B333" s="36"/>
      <c r="C333" s="9" t="s">
        <v>340</v>
      </c>
      <c r="D333" s="9"/>
      <c r="E333" s="18" t="s">
        <v>230</v>
      </c>
      <c r="F333" s="155" t="s">
        <v>337</v>
      </c>
      <c r="G333" s="294"/>
      <c r="H333" s="260"/>
      <c r="I333" s="379"/>
      <c r="J333" s="379"/>
      <c r="K333" s="379"/>
      <c r="L333" s="379"/>
      <c r="M333" s="379"/>
      <c r="N333" s="379"/>
      <c r="O333" s="379"/>
      <c r="P333" s="379"/>
      <c r="Q333" s="379"/>
      <c r="R333" s="379"/>
      <c r="S333" s="379"/>
      <c r="T333" s="379"/>
      <c r="U333" s="101"/>
      <c r="V333" s="101"/>
      <c r="W333" s="101"/>
      <c r="X333" s="101"/>
      <c r="Y333" s="101"/>
    </row>
    <row r="334" spans="1:25" x14ac:dyDescent="0.2">
      <c r="A334" s="219">
        <v>255</v>
      </c>
      <c r="B334" s="36"/>
      <c r="C334" s="9" t="s">
        <v>207</v>
      </c>
      <c r="D334" s="9"/>
      <c r="E334" s="18" t="s">
        <v>177</v>
      </c>
      <c r="F334" s="155" t="s">
        <v>337</v>
      </c>
      <c r="G334" s="294"/>
      <c r="H334" s="260"/>
      <c r="I334" s="379"/>
      <c r="J334" s="379"/>
      <c r="K334" s="379"/>
      <c r="L334" s="379"/>
      <c r="M334" s="379"/>
      <c r="N334" s="379"/>
      <c r="O334" s="379"/>
      <c r="P334" s="379"/>
      <c r="Q334" s="379"/>
      <c r="R334" s="379"/>
      <c r="S334" s="379"/>
      <c r="T334" s="379"/>
      <c r="U334" s="101"/>
      <c r="V334" s="101"/>
      <c r="W334" s="101"/>
      <c r="X334" s="101"/>
      <c r="Y334" s="101"/>
    </row>
    <row r="335" spans="1:25" x14ac:dyDescent="0.2">
      <c r="A335" s="219">
        <v>256</v>
      </c>
      <c r="B335" s="36"/>
      <c r="C335" s="9" t="s">
        <v>341</v>
      </c>
      <c r="D335" s="9"/>
      <c r="E335" s="18" t="s">
        <v>342</v>
      </c>
      <c r="F335" s="155" t="s">
        <v>337</v>
      </c>
      <c r="G335" s="294"/>
      <c r="H335" s="260"/>
      <c r="I335" s="379"/>
      <c r="J335" s="379"/>
      <c r="K335" s="379"/>
      <c r="L335" s="379"/>
      <c r="M335" s="379"/>
      <c r="N335" s="379"/>
      <c r="O335" s="379"/>
      <c r="P335" s="379"/>
      <c r="Q335" s="379"/>
      <c r="R335" s="379"/>
      <c r="S335" s="379"/>
      <c r="T335" s="379"/>
      <c r="U335" s="101"/>
      <c r="V335" s="101"/>
      <c r="W335" s="101"/>
      <c r="X335" s="101"/>
      <c r="Y335" s="101"/>
    </row>
    <row r="336" spans="1:25" x14ac:dyDescent="0.2">
      <c r="A336" s="219">
        <v>257</v>
      </c>
      <c r="B336" s="36"/>
      <c r="C336" s="9" t="s">
        <v>343</v>
      </c>
      <c r="D336" s="9"/>
      <c r="E336" s="18" t="s">
        <v>277</v>
      </c>
      <c r="F336" s="155" t="s">
        <v>337</v>
      </c>
      <c r="G336" s="294"/>
      <c r="H336" s="260"/>
      <c r="I336" s="379"/>
      <c r="J336" s="379"/>
      <c r="K336" s="379"/>
      <c r="L336" s="379"/>
      <c r="M336" s="379"/>
      <c r="N336" s="379"/>
      <c r="O336" s="379"/>
      <c r="P336" s="379"/>
      <c r="Q336" s="379"/>
      <c r="R336" s="379"/>
      <c r="S336" s="379"/>
      <c r="T336" s="379"/>
      <c r="U336" s="101"/>
      <c r="V336" s="101"/>
      <c r="W336" s="101"/>
      <c r="X336" s="101"/>
      <c r="Y336" s="101"/>
    </row>
    <row r="337" spans="1:25" x14ac:dyDescent="0.2">
      <c r="A337" s="219">
        <v>258</v>
      </c>
      <c r="B337" s="36"/>
      <c r="C337" s="9" t="s">
        <v>344</v>
      </c>
      <c r="D337" s="9"/>
      <c r="E337" s="18" t="s">
        <v>345</v>
      </c>
      <c r="F337" s="155">
        <v>3100</v>
      </c>
      <c r="G337" s="294"/>
      <c r="H337" s="260"/>
      <c r="I337" s="379"/>
      <c r="J337" s="379"/>
      <c r="K337" s="379"/>
      <c r="L337" s="379"/>
      <c r="M337" s="379"/>
      <c r="N337" s="379"/>
      <c r="O337" s="379"/>
      <c r="P337" s="379"/>
      <c r="Q337" s="379"/>
      <c r="R337" s="379"/>
      <c r="S337" s="379"/>
      <c r="T337" s="379"/>
      <c r="U337" s="101"/>
      <c r="V337" s="101"/>
      <c r="W337" s="101"/>
      <c r="X337" s="101"/>
      <c r="Y337" s="101"/>
    </row>
    <row r="338" spans="1:25" x14ac:dyDescent="0.2">
      <c r="A338" s="219">
        <v>259</v>
      </c>
      <c r="B338" s="36"/>
      <c r="C338" s="9" t="s">
        <v>263</v>
      </c>
      <c r="D338" s="9"/>
      <c r="E338" s="18" t="s">
        <v>264</v>
      </c>
      <c r="F338" s="155" t="s">
        <v>337</v>
      </c>
      <c r="G338" s="294"/>
      <c r="H338" s="260"/>
      <c r="I338" s="379"/>
      <c r="J338" s="379"/>
      <c r="K338" s="379"/>
      <c r="L338" s="379"/>
      <c r="M338" s="379"/>
      <c r="N338" s="379"/>
      <c r="O338" s="379"/>
      <c r="P338" s="379"/>
      <c r="Q338" s="379"/>
      <c r="R338" s="379"/>
      <c r="S338" s="379"/>
      <c r="T338" s="379"/>
      <c r="U338" s="101"/>
      <c r="V338" s="101"/>
      <c r="W338" s="101"/>
      <c r="X338" s="101"/>
      <c r="Y338" s="101"/>
    </row>
    <row r="339" spans="1:25" x14ac:dyDescent="0.2">
      <c r="A339" s="219">
        <v>260</v>
      </c>
      <c r="B339" s="36"/>
      <c r="C339" s="9" t="s">
        <v>180</v>
      </c>
      <c r="D339" s="9"/>
      <c r="E339" s="18" t="s">
        <v>181</v>
      </c>
      <c r="F339" s="155" t="s">
        <v>337</v>
      </c>
      <c r="G339" s="294"/>
      <c r="H339" s="260"/>
      <c r="I339" s="379"/>
      <c r="J339" s="379"/>
      <c r="K339" s="379"/>
      <c r="L339" s="379"/>
      <c r="M339" s="379"/>
      <c r="N339" s="379"/>
      <c r="O339" s="379"/>
      <c r="P339" s="379"/>
      <c r="Q339" s="379"/>
      <c r="R339" s="379"/>
      <c r="S339" s="379"/>
      <c r="T339" s="379"/>
      <c r="U339" s="101"/>
      <c r="V339" s="101"/>
      <c r="W339" s="101"/>
      <c r="X339" s="101"/>
      <c r="Y339" s="101"/>
    </row>
    <row r="340" spans="1:25" x14ac:dyDescent="0.2">
      <c r="A340" s="219">
        <v>261</v>
      </c>
      <c r="B340" s="36"/>
      <c r="C340" s="9" t="s">
        <v>184</v>
      </c>
      <c r="D340" s="9"/>
      <c r="E340" s="18" t="s">
        <v>185</v>
      </c>
      <c r="F340" s="155" t="s">
        <v>346</v>
      </c>
      <c r="G340" s="294"/>
      <c r="H340" s="260"/>
      <c r="I340" s="379"/>
      <c r="J340" s="379"/>
      <c r="K340" s="379"/>
      <c r="L340" s="379"/>
      <c r="M340" s="379"/>
      <c r="N340" s="379"/>
      <c r="O340" s="379"/>
      <c r="P340" s="379"/>
      <c r="Q340" s="379"/>
      <c r="R340" s="379"/>
      <c r="S340" s="379"/>
      <c r="T340" s="379"/>
      <c r="U340" s="101"/>
      <c r="V340" s="101"/>
      <c r="W340" s="101"/>
      <c r="X340" s="101"/>
      <c r="Y340" s="101"/>
    </row>
    <row r="341" spans="1:25" x14ac:dyDescent="0.2">
      <c r="A341" s="219">
        <v>262</v>
      </c>
      <c r="B341" s="36"/>
      <c r="C341" s="9" t="s">
        <v>186</v>
      </c>
      <c r="D341" s="9"/>
      <c r="E341" s="18" t="s">
        <v>187</v>
      </c>
      <c r="F341" s="155" t="s">
        <v>346</v>
      </c>
      <c r="G341" s="294"/>
      <c r="H341" s="260"/>
      <c r="I341" s="379"/>
      <c r="J341" s="379"/>
      <c r="K341" s="379"/>
      <c r="L341" s="379"/>
      <c r="M341" s="379"/>
      <c r="N341" s="379"/>
      <c r="O341" s="379"/>
      <c r="P341" s="379"/>
      <c r="Q341" s="379"/>
      <c r="R341" s="379"/>
      <c r="S341" s="379"/>
      <c r="T341" s="379"/>
      <c r="U341" s="101"/>
      <c r="V341" s="101"/>
      <c r="W341" s="101"/>
      <c r="X341" s="101"/>
      <c r="Y341" s="101"/>
    </row>
    <row r="342" spans="1:25" x14ac:dyDescent="0.2">
      <c r="A342" s="219">
        <v>263</v>
      </c>
      <c r="B342" s="36"/>
      <c r="C342" s="9" t="s">
        <v>188</v>
      </c>
      <c r="D342" s="9"/>
      <c r="E342" s="18" t="s">
        <v>189</v>
      </c>
      <c r="F342" s="155" t="s">
        <v>346</v>
      </c>
      <c r="G342" s="294"/>
      <c r="H342" s="260"/>
      <c r="I342" s="379"/>
      <c r="J342" s="379"/>
      <c r="K342" s="379"/>
      <c r="L342" s="379"/>
      <c r="M342" s="379"/>
      <c r="N342" s="379"/>
      <c r="O342" s="379"/>
      <c r="P342" s="379"/>
      <c r="Q342" s="379"/>
      <c r="R342" s="379"/>
      <c r="S342" s="379"/>
      <c r="T342" s="379"/>
      <c r="U342" s="101"/>
      <c r="V342" s="101"/>
      <c r="W342" s="101"/>
      <c r="X342" s="101"/>
      <c r="Y342" s="101"/>
    </row>
    <row r="343" spans="1:25" x14ac:dyDescent="0.2">
      <c r="A343" s="219">
        <v>264</v>
      </c>
      <c r="B343" s="36"/>
      <c r="C343" s="9" t="s">
        <v>190</v>
      </c>
      <c r="D343" s="9"/>
      <c r="E343" s="18" t="s">
        <v>191</v>
      </c>
      <c r="F343" s="155" t="s">
        <v>346</v>
      </c>
      <c r="G343" s="294"/>
      <c r="H343" s="260"/>
      <c r="I343" s="379"/>
      <c r="J343" s="379"/>
      <c r="K343" s="379"/>
      <c r="L343" s="379"/>
      <c r="M343" s="379"/>
      <c r="N343" s="379"/>
      <c r="O343" s="379"/>
      <c r="P343" s="379"/>
      <c r="Q343" s="379"/>
      <c r="R343" s="379"/>
      <c r="S343" s="379"/>
      <c r="T343" s="379"/>
      <c r="U343" s="101"/>
      <c r="V343" s="101"/>
      <c r="W343" s="101"/>
      <c r="X343" s="101"/>
      <c r="Y343" s="101"/>
    </row>
    <row r="344" spans="1:25" x14ac:dyDescent="0.2">
      <c r="A344" s="219">
        <v>265</v>
      </c>
      <c r="B344" s="36"/>
      <c r="C344" s="9" t="s">
        <v>192</v>
      </c>
      <c r="D344" s="9"/>
      <c r="E344" s="18" t="s">
        <v>193</v>
      </c>
      <c r="F344" s="155" t="s">
        <v>346</v>
      </c>
      <c r="G344" s="294"/>
      <c r="H344" s="260"/>
      <c r="I344" s="379"/>
      <c r="J344" s="379"/>
      <c r="K344" s="379"/>
      <c r="L344" s="379"/>
      <c r="M344" s="379"/>
      <c r="N344" s="379"/>
      <c r="O344" s="379"/>
      <c r="P344" s="379"/>
      <c r="Q344" s="379"/>
      <c r="R344" s="379"/>
      <c r="S344" s="379"/>
      <c r="T344" s="379"/>
      <c r="U344" s="101"/>
      <c r="V344" s="101"/>
      <c r="W344" s="101"/>
      <c r="X344" s="101"/>
      <c r="Y344" s="101"/>
    </row>
    <row r="345" spans="1:25" x14ac:dyDescent="0.2">
      <c r="A345" s="219">
        <v>266</v>
      </c>
      <c r="B345" s="36"/>
      <c r="C345" s="9" t="s">
        <v>194</v>
      </c>
      <c r="D345" s="9"/>
      <c r="E345" s="18" t="s">
        <v>195</v>
      </c>
      <c r="F345" s="155" t="s">
        <v>346</v>
      </c>
      <c r="G345" s="294"/>
      <c r="H345" s="260"/>
      <c r="I345" s="379"/>
      <c r="J345" s="379"/>
      <c r="K345" s="379"/>
      <c r="L345" s="379"/>
      <c r="M345" s="379"/>
      <c r="N345" s="379"/>
      <c r="O345" s="379"/>
      <c r="P345" s="379"/>
      <c r="Q345" s="379"/>
      <c r="R345" s="379"/>
      <c r="S345" s="379"/>
      <c r="T345" s="379"/>
      <c r="U345" s="101"/>
      <c r="V345" s="101"/>
      <c r="W345" s="101"/>
      <c r="X345" s="101"/>
      <c r="Y345" s="101"/>
    </row>
    <row r="346" spans="1:25" x14ac:dyDescent="0.2">
      <c r="A346" s="219">
        <v>267</v>
      </c>
      <c r="B346" s="36"/>
      <c r="C346" s="85" t="s">
        <v>196</v>
      </c>
      <c r="D346" s="9"/>
      <c r="E346" s="18"/>
      <c r="F346" s="155"/>
      <c r="G346" s="294"/>
      <c r="H346" s="260"/>
      <c r="I346" s="379"/>
      <c r="J346" s="379"/>
      <c r="K346" s="379"/>
      <c r="L346" s="379"/>
      <c r="M346" s="379"/>
      <c r="N346" s="379"/>
      <c r="O346" s="379"/>
      <c r="P346" s="379"/>
      <c r="Q346" s="379"/>
      <c r="R346" s="379"/>
      <c r="S346" s="379"/>
      <c r="T346" s="379"/>
      <c r="U346" s="101"/>
      <c r="V346" s="101"/>
      <c r="W346" s="101"/>
      <c r="X346" s="101"/>
      <c r="Y346" s="101"/>
    </row>
    <row r="347" spans="1:25" x14ac:dyDescent="0.2">
      <c r="A347" s="219">
        <v>268</v>
      </c>
      <c r="B347" s="36"/>
      <c r="C347" s="85"/>
      <c r="D347" s="9"/>
      <c r="E347" s="18"/>
      <c r="F347" s="155"/>
      <c r="G347" s="294"/>
      <c r="H347" s="260"/>
      <c r="I347" s="379"/>
      <c r="J347" s="379"/>
      <c r="K347" s="379"/>
      <c r="L347" s="379"/>
      <c r="M347" s="379"/>
      <c r="N347" s="379"/>
      <c r="O347" s="379"/>
      <c r="P347" s="379"/>
      <c r="Q347" s="379"/>
      <c r="R347" s="379"/>
      <c r="S347" s="379"/>
      <c r="T347" s="379"/>
      <c r="U347" s="101"/>
      <c r="V347" s="101"/>
      <c r="W347" s="101"/>
      <c r="X347" s="101"/>
      <c r="Y347" s="101"/>
    </row>
    <row r="348" spans="1:25" x14ac:dyDescent="0.2">
      <c r="A348" s="219">
        <v>269</v>
      </c>
      <c r="B348" s="83"/>
      <c r="D348" s="13"/>
      <c r="E348" s="14"/>
      <c r="F348" s="163"/>
      <c r="G348" s="306"/>
      <c r="H348" s="275"/>
      <c r="I348" s="379"/>
      <c r="J348" s="379"/>
      <c r="K348" s="379"/>
      <c r="L348" s="379"/>
      <c r="M348" s="379"/>
      <c r="N348" s="379"/>
      <c r="O348" s="379"/>
      <c r="P348" s="379"/>
      <c r="Q348" s="379"/>
      <c r="R348" s="379"/>
      <c r="S348" s="379"/>
      <c r="T348" s="379"/>
      <c r="U348" s="101"/>
      <c r="V348" s="101"/>
      <c r="W348" s="101"/>
      <c r="X348" s="101"/>
      <c r="Y348" s="101"/>
    </row>
    <row r="349" spans="1:25" ht="15" x14ac:dyDescent="0.25">
      <c r="A349" s="220">
        <v>270</v>
      </c>
      <c r="B349" s="87" t="s">
        <v>347</v>
      </c>
      <c r="C349" s="51"/>
      <c r="D349" s="51"/>
      <c r="E349" s="49"/>
      <c r="F349" s="159"/>
      <c r="G349" s="297">
        <f>SUM(G330:G348)</f>
        <v>276649</v>
      </c>
      <c r="H349" s="263"/>
      <c r="I349" s="379"/>
      <c r="J349" s="379"/>
      <c r="K349" s="379"/>
      <c r="L349" s="379"/>
      <c r="M349" s="379"/>
      <c r="N349" s="379"/>
      <c r="O349" s="379"/>
      <c r="P349" s="379"/>
      <c r="Q349" s="379"/>
      <c r="R349" s="379"/>
      <c r="S349" s="379"/>
      <c r="T349" s="379"/>
      <c r="U349" s="101"/>
      <c r="V349" s="101"/>
      <c r="W349" s="101"/>
      <c r="X349" s="101"/>
      <c r="Y349" s="101"/>
    </row>
    <row r="350" spans="1:25" ht="6" customHeight="1" x14ac:dyDescent="0.2">
      <c r="A350" s="219"/>
      <c r="B350" s="36"/>
      <c r="C350" s="9"/>
      <c r="D350" s="9"/>
      <c r="E350" s="18"/>
      <c r="F350" s="155"/>
      <c r="G350" s="294"/>
      <c r="H350" s="260"/>
      <c r="I350" s="379"/>
      <c r="J350" s="379"/>
      <c r="K350" s="379"/>
      <c r="L350" s="379"/>
      <c r="M350" s="379"/>
      <c r="N350" s="379"/>
      <c r="O350" s="379"/>
      <c r="P350" s="379"/>
      <c r="Q350" s="379"/>
      <c r="R350" s="379"/>
      <c r="S350" s="379"/>
      <c r="T350" s="379"/>
      <c r="U350" s="101"/>
      <c r="V350" s="101"/>
      <c r="W350" s="101"/>
      <c r="X350" s="101"/>
      <c r="Y350" s="101"/>
    </row>
    <row r="351" spans="1:25" ht="7.5" customHeight="1" x14ac:dyDescent="0.2">
      <c r="A351" s="219"/>
      <c r="B351" s="36"/>
      <c r="C351" s="9"/>
      <c r="D351" s="9"/>
      <c r="E351" s="18"/>
      <c r="F351" s="155"/>
      <c r="G351" s="294"/>
      <c r="H351" s="260"/>
      <c r="I351" s="379"/>
      <c r="J351" s="379"/>
      <c r="K351" s="379"/>
      <c r="L351" s="379"/>
      <c r="M351" s="379"/>
      <c r="N351" s="379"/>
      <c r="O351" s="379"/>
      <c r="P351" s="379"/>
      <c r="Q351" s="379"/>
      <c r="R351" s="379"/>
      <c r="S351" s="379"/>
      <c r="T351" s="379"/>
      <c r="U351" s="101"/>
      <c r="V351" s="101"/>
      <c r="W351" s="101"/>
      <c r="X351" s="101"/>
      <c r="Y351" s="101"/>
    </row>
    <row r="352" spans="1:25" s="4" customFormat="1" ht="15" x14ac:dyDescent="0.25">
      <c r="A352" s="219" t="s">
        <v>157</v>
      </c>
      <c r="B352" s="88" t="s">
        <v>348</v>
      </c>
      <c r="C352" s="53"/>
      <c r="D352" s="53"/>
      <c r="E352" s="61"/>
      <c r="F352" s="154"/>
      <c r="G352" s="293"/>
      <c r="H352" s="259"/>
      <c r="I352" s="379"/>
      <c r="J352" s="379"/>
      <c r="K352" s="379"/>
      <c r="L352" s="379"/>
      <c r="M352" s="379"/>
      <c r="N352" s="379"/>
      <c r="O352" s="379"/>
      <c r="P352" s="379"/>
      <c r="Q352" s="379"/>
      <c r="R352" s="379"/>
      <c r="S352" s="379"/>
      <c r="T352" s="379"/>
      <c r="U352" s="233"/>
      <c r="V352" s="233"/>
      <c r="W352" s="233"/>
      <c r="X352" s="233"/>
      <c r="Y352" s="233"/>
    </row>
    <row r="353" spans="1:25" x14ac:dyDescent="0.2">
      <c r="A353" s="219">
        <v>271</v>
      </c>
      <c r="B353" s="36"/>
      <c r="C353" s="9" t="s">
        <v>160</v>
      </c>
      <c r="D353" s="9"/>
      <c r="E353" s="18" t="s">
        <v>272</v>
      </c>
      <c r="F353" s="155" t="s">
        <v>349</v>
      </c>
      <c r="G353" s="294"/>
      <c r="H353" s="260"/>
      <c r="I353" s="379"/>
      <c r="J353" s="379"/>
      <c r="K353" s="379"/>
      <c r="L353" s="379"/>
      <c r="M353" s="379"/>
      <c r="N353" s="379"/>
      <c r="O353" s="379"/>
      <c r="P353" s="379"/>
      <c r="Q353" s="379"/>
      <c r="R353" s="379"/>
      <c r="S353" s="379"/>
      <c r="T353" s="379"/>
      <c r="U353" s="101"/>
      <c r="V353" s="101"/>
      <c r="W353" s="101"/>
      <c r="X353" s="101"/>
      <c r="Y353" s="101"/>
    </row>
    <row r="354" spans="1:25" x14ac:dyDescent="0.2">
      <c r="A354" s="219">
        <v>272</v>
      </c>
      <c r="B354" s="36"/>
      <c r="C354" s="9" t="s">
        <v>207</v>
      </c>
      <c r="D354" s="9"/>
      <c r="E354" s="18" t="s">
        <v>177</v>
      </c>
      <c r="F354" s="155" t="s">
        <v>350</v>
      </c>
      <c r="G354" s="294"/>
      <c r="H354" s="260"/>
      <c r="I354" s="379"/>
      <c r="J354" s="379"/>
      <c r="K354" s="379"/>
      <c r="L354" s="379"/>
      <c r="M354" s="379"/>
      <c r="N354" s="379"/>
      <c r="O354" s="379"/>
      <c r="P354" s="379"/>
      <c r="Q354" s="379"/>
      <c r="R354" s="379"/>
      <c r="S354" s="379"/>
      <c r="T354" s="379"/>
      <c r="U354" s="101"/>
      <c r="V354" s="101"/>
      <c r="W354" s="101"/>
      <c r="X354" s="101"/>
      <c r="Y354" s="101"/>
    </row>
    <row r="355" spans="1:25" x14ac:dyDescent="0.2">
      <c r="A355" s="219">
        <v>273</v>
      </c>
      <c r="B355" s="36"/>
      <c r="C355" s="9" t="s">
        <v>184</v>
      </c>
      <c r="D355" s="9"/>
      <c r="E355" s="18" t="s">
        <v>185</v>
      </c>
      <c r="F355" s="155" t="s">
        <v>349</v>
      </c>
      <c r="G355" s="294"/>
      <c r="H355" s="260"/>
      <c r="I355" s="379"/>
      <c r="J355" s="379"/>
      <c r="K355" s="379"/>
      <c r="L355" s="379"/>
      <c r="M355" s="379"/>
      <c r="N355" s="379"/>
      <c r="O355" s="379"/>
      <c r="P355" s="379"/>
      <c r="Q355" s="379"/>
      <c r="R355" s="379"/>
      <c r="S355" s="379"/>
      <c r="T355" s="379"/>
      <c r="U355" s="101"/>
      <c r="V355" s="101"/>
      <c r="W355" s="101"/>
      <c r="X355" s="101"/>
      <c r="Y355" s="101"/>
    </row>
    <row r="356" spans="1:25" x14ac:dyDescent="0.2">
      <c r="A356" s="219">
        <v>274</v>
      </c>
      <c r="B356" s="36"/>
      <c r="C356" s="9" t="s">
        <v>186</v>
      </c>
      <c r="D356" s="9"/>
      <c r="E356" s="18" t="s">
        <v>187</v>
      </c>
      <c r="F356" s="155" t="s">
        <v>349</v>
      </c>
      <c r="G356" s="294"/>
      <c r="H356" s="260"/>
      <c r="I356" s="379"/>
      <c r="J356" s="379"/>
      <c r="K356" s="379"/>
      <c r="L356" s="379"/>
      <c r="M356" s="379"/>
      <c r="N356" s="379"/>
      <c r="O356" s="379"/>
      <c r="P356" s="379"/>
      <c r="Q356" s="379"/>
      <c r="R356" s="379"/>
      <c r="S356" s="379"/>
      <c r="T356" s="379"/>
      <c r="U356" s="101"/>
      <c r="V356" s="101"/>
      <c r="W356" s="101"/>
      <c r="X356" s="101"/>
      <c r="Y356" s="101"/>
    </row>
    <row r="357" spans="1:25" x14ac:dyDescent="0.2">
      <c r="A357" s="219">
        <v>275</v>
      </c>
      <c r="B357" s="36"/>
      <c r="C357" s="9" t="s">
        <v>188</v>
      </c>
      <c r="D357" s="9"/>
      <c r="E357" s="18" t="s">
        <v>189</v>
      </c>
      <c r="F357" s="155" t="s">
        <v>349</v>
      </c>
      <c r="G357" s="294"/>
      <c r="H357" s="260"/>
      <c r="I357" s="379"/>
      <c r="J357" s="379"/>
      <c r="K357" s="379"/>
      <c r="L357" s="379"/>
      <c r="M357" s="379"/>
      <c r="N357" s="379"/>
      <c r="O357" s="379"/>
      <c r="P357" s="379"/>
      <c r="Q357" s="379"/>
      <c r="R357" s="379"/>
      <c r="S357" s="379"/>
      <c r="T357" s="379"/>
      <c r="U357" s="101"/>
      <c r="V357" s="101"/>
      <c r="W357" s="101"/>
      <c r="X357" s="101"/>
      <c r="Y357" s="101"/>
    </row>
    <row r="358" spans="1:25" x14ac:dyDescent="0.2">
      <c r="A358" s="219">
        <v>276</v>
      </c>
      <c r="B358" s="36"/>
      <c r="C358" s="9" t="s">
        <v>190</v>
      </c>
      <c r="D358" s="9"/>
      <c r="E358" s="18" t="s">
        <v>191</v>
      </c>
      <c r="F358" s="155" t="s">
        <v>349</v>
      </c>
      <c r="G358" s="294"/>
      <c r="H358" s="260"/>
      <c r="I358" s="379"/>
      <c r="J358" s="379"/>
      <c r="K358" s="379"/>
      <c r="L358" s="379"/>
      <c r="M358" s="379"/>
      <c r="N358" s="379"/>
      <c r="O358" s="379"/>
      <c r="P358" s="379"/>
      <c r="Q358" s="379"/>
      <c r="R358" s="379"/>
      <c r="S358" s="379"/>
      <c r="T358" s="379"/>
      <c r="U358" s="101"/>
      <c r="V358" s="101"/>
      <c r="W358" s="101"/>
      <c r="X358" s="101"/>
      <c r="Y358" s="101"/>
    </row>
    <row r="359" spans="1:25" x14ac:dyDescent="0.2">
      <c r="A359" s="219">
        <v>277</v>
      </c>
      <c r="B359" s="36"/>
      <c r="C359" s="9" t="s">
        <v>192</v>
      </c>
      <c r="D359" s="9"/>
      <c r="E359" s="18" t="s">
        <v>193</v>
      </c>
      <c r="F359" s="155" t="s">
        <v>349</v>
      </c>
      <c r="G359" s="294"/>
      <c r="H359" s="260"/>
      <c r="I359" s="379"/>
      <c r="J359" s="379"/>
      <c r="K359" s="379"/>
      <c r="L359" s="379"/>
      <c r="M359" s="379"/>
      <c r="N359" s="379"/>
      <c r="O359" s="379"/>
      <c r="P359" s="379"/>
      <c r="Q359" s="379"/>
      <c r="R359" s="379"/>
      <c r="S359" s="379"/>
      <c r="T359" s="379"/>
      <c r="U359" s="101"/>
      <c r="V359" s="101"/>
      <c r="W359" s="101"/>
      <c r="X359" s="101"/>
      <c r="Y359" s="101"/>
    </row>
    <row r="360" spans="1:25" x14ac:dyDescent="0.2">
      <c r="A360" s="219">
        <v>278</v>
      </c>
      <c r="B360" s="36"/>
      <c r="C360" s="9" t="s">
        <v>194</v>
      </c>
      <c r="D360" s="9"/>
      <c r="E360" s="18" t="s">
        <v>195</v>
      </c>
      <c r="F360" s="155" t="s">
        <v>349</v>
      </c>
      <c r="G360" s="294"/>
      <c r="H360" s="260"/>
      <c r="I360" s="379"/>
      <c r="J360" s="379"/>
      <c r="K360" s="379"/>
      <c r="L360" s="379"/>
      <c r="M360" s="379"/>
      <c r="N360" s="379"/>
      <c r="O360" s="379"/>
      <c r="P360" s="379"/>
      <c r="Q360" s="379"/>
      <c r="R360" s="379"/>
      <c r="S360" s="379"/>
      <c r="T360" s="379"/>
      <c r="U360" s="101"/>
      <c r="V360" s="101"/>
      <c r="W360" s="101"/>
      <c r="X360" s="101"/>
      <c r="Y360" s="101"/>
    </row>
    <row r="361" spans="1:25" x14ac:dyDescent="0.2">
      <c r="A361" s="219">
        <v>279</v>
      </c>
      <c r="B361" s="36"/>
      <c r="C361" s="85" t="s">
        <v>196</v>
      </c>
      <c r="D361" s="9"/>
      <c r="E361" s="18"/>
      <c r="F361" s="155"/>
      <c r="G361" s="294"/>
      <c r="H361" s="260"/>
      <c r="I361" s="379"/>
      <c r="J361" s="379"/>
      <c r="K361" s="379"/>
      <c r="L361" s="379"/>
      <c r="M361" s="379"/>
      <c r="N361" s="379"/>
      <c r="O361" s="379"/>
      <c r="P361" s="379"/>
      <c r="Q361" s="379"/>
      <c r="R361" s="379"/>
      <c r="S361" s="379"/>
      <c r="T361" s="379"/>
      <c r="U361" s="101"/>
      <c r="V361" s="101"/>
      <c r="W361" s="101"/>
      <c r="X361" s="101"/>
      <c r="Y361" s="101"/>
    </row>
    <row r="362" spans="1:25" x14ac:dyDescent="0.2">
      <c r="A362" s="219">
        <v>280</v>
      </c>
      <c r="B362" s="36"/>
      <c r="C362" s="85"/>
      <c r="D362" s="9"/>
      <c r="E362" s="18"/>
      <c r="F362" s="155"/>
      <c r="G362" s="294"/>
      <c r="H362" s="260"/>
      <c r="I362" s="379"/>
      <c r="J362" s="379"/>
      <c r="K362" s="379"/>
      <c r="L362" s="379"/>
      <c r="M362" s="379"/>
      <c r="N362" s="379"/>
      <c r="O362" s="379"/>
      <c r="P362" s="379"/>
      <c r="Q362" s="379"/>
      <c r="R362" s="379"/>
      <c r="S362" s="379"/>
      <c r="T362" s="379"/>
      <c r="U362" s="101"/>
      <c r="V362" s="101"/>
      <c r="W362" s="101"/>
      <c r="X362" s="101"/>
      <c r="Y362" s="101"/>
    </row>
    <row r="363" spans="1:25" x14ac:dyDescent="0.2">
      <c r="A363" s="219"/>
      <c r="B363" s="83"/>
      <c r="D363" s="13"/>
      <c r="E363" s="14"/>
      <c r="F363" s="163"/>
      <c r="G363" s="306"/>
      <c r="H363" s="275"/>
      <c r="I363" s="379"/>
      <c r="J363" s="379"/>
      <c r="K363" s="379"/>
      <c r="L363" s="379"/>
      <c r="M363" s="379"/>
      <c r="N363" s="379"/>
      <c r="O363" s="379"/>
      <c r="P363" s="379"/>
      <c r="Q363" s="379"/>
      <c r="R363" s="379"/>
      <c r="S363" s="379"/>
      <c r="T363" s="379"/>
      <c r="U363" s="101"/>
      <c r="V363" s="101"/>
      <c r="W363" s="101"/>
      <c r="X363" s="101"/>
      <c r="Y363" s="101"/>
    </row>
    <row r="364" spans="1:25" ht="15" x14ac:dyDescent="0.25">
      <c r="A364" s="220">
        <v>281</v>
      </c>
      <c r="B364" s="87" t="s">
        <v>351</v>
      </c>
      <c r="C364" s="51"/>
      <c r="D364" s="51"/>
      <c r="E364" s="49"/>
      <c r="F364" s="159"/>
      <c r="G364" s="297">
        <f>SUM(G353:G363)</f>
        <v>0</v>
      </c>
      <c r="H364" s="263"/>
      <c r="I364" s="379"/>
      <c r="J364" s="379"/>
      <c r="K364" s="379"/>
      <c r="L364" s="379"/>
      <c r="M364" s="379"/>
      <c r="N364" s="379"/>
      <c r="O364" s="379"/>
      <c r="P364" s="379"/>
      <c r="Q364" s="379"/>
      <c r="R364" s="379"/>
      <c r="S364" s="379"/>
      <c r="T364" s="379"/>
      <c r="U364" s="101"/>
      <c r="V364" s="101"/>
      <c r="W364" s="101"/>
      <c r="X364" s="101"/>
      <c r="Y364" s="101"/>
    </row>
    <row r="365" spans="1:25" ht="15.75" thickBot="1" x14ac:dyDescent="0.3">
      <c r="A365" s="219"/>
      <c r="B365" s="80"/>
      <c r="C365" s="10"/>
      <c r="D365" s="10"/>
      <c r="E365" s="18"/>
      <c r="F365" s="155"/>
      <c r="G365" s="294"/>
      <c r="H365" s="260"/>
      <c r="I365" s="379"/>
      <c r="J365" s="379"/>
      <c r="K365" s="379"/>
      <c r="L365" s="379"/>
      <c r="M365" s="379"/>
      <c r="N365" s="379"/>
      <c r="O365" s="379"/>
      <c r="P365" s="379"/>
      <c r="Q365" s="379"/>
      <c r="R365" s="379"/>
      <c r="S365" s="379"/>
      <c r="T365" s="379"/>
      <c r="U365" s="101"/>
      <c r="V365" s="101"/>
      <c r="W365" s="101"/>
      <c r="X365" s="101"/>
      <c r="Y365" s="101"/>
    </row>
    <row r="366" spans="1:25" ht="15" x14ac:dyDescent="0.25">
      <c r="A366" s="226"/>
      <c r="B366" s="115" t="s">
        <v>352</v>
      </c>
      <c r="C366" s="123"/>
      <c r="D366" s="123"/>
      <c r="E366" s="135"/>
      <c r="F366" s="171"/>
      <c r="G366" s="314"/>
      <c r="H366" s="284"/>
      <c r="I366" s="379"/>
      <c r="J366" s="379"/>
      <c r="K366" s="379"/>
      <c r="L366" s="379"/>
      <c r="M366" s="379"/>
      <c r="N366" s="379"/>
      <c r="O366" s="379"/>
      <c r="P366" s="379"/>
      <c r="Q366" s="379"/>
      <c r="R366" s="379"/>
      <c r="S366" s="379"/>
      <c r="T366" s="379"/>
      <c r="U366" s="101"/>
      <c r="V366" s="101"/>
      <c r="W366" s="101"/>
      <c r="X366" s="101"/>
      <c r="Y366" s="101"/>
    </row>
    <row r="367" spans="1:25" ht="15.75" thickBot="1" x14ac:dyDescent="0.3">
      <c r="A367" s="227">
        <v>282</v>
      </c>
      <c r="B367" s="131"/>
      <c r="C367" s="117"/>
      <c r="D367" s="117" t="s">
        <v>353</v>
      </c>
      <c r="E367" s="127"/>
      <c r="F367" s="172"/>
      <c r="G367" s="315">
        <f>+G349+G364</f>
        <v>276649</v>
      </c>
      <c r="H367" s="285"/>
      <c r="I367" s="379"/>
      <c r="J367" s="379"/>
      <c r="K367" s="379"/>
      <c r="L367" s="379"/>
      <c r="M367" s="379"/>
      <c r="N367" s="379"/>
      <c r="O367" s="379"/>
      <c r="P367" s="379"/>
      <c r="Q367" s="379"/>
      <c r="R367" s="379"/>
      <c r="S367" s="379"/>
      <c r="T367" s="379"/>
      <c r="U367" s="101"/>
      <c r="V367" s="101"/>
      <c r="W367" s="101"/>
      <c r="X367" s="101"/>
      <c r="Y367" s="101"/>
    </row>
    <row r="368" spans="1:25" s="4" customFormat="1" ht="15" x14ac:dyDescent="0.25">
      <c r="A368" s="224"/>
      <c r="B368" s="132" t="s">
        <v>354</v>
      </c>
      <c r="C368" s="56"/>
      <c r="D368" s="56"/>
      <c r="E368" s="71"/>
      <c r="F368" s="153"/>
      <c r="G368" s="292"/>
      <c r="H368" s="258"/>
      <c r="I368" s="379"/>
      <c r="J368" s="379"/>
      <c r="K368" s="379"/>
      <c r="L368" s="379"/>
      <c r="M368" s="379"/>
      <c r="N368" s="379"/>
      <c r="O368" s="379"/>
      <c r="P368" s="379"/>
      <c r="Q368" s="379"/>
      <c r="R368" s="379"/>
      <c r="S368" s="379"/>
      <c r="T368" s="379"/>
      <c r="U368" s="233"/>
      <c r="V368" s="233"/>
      <c r="W368" s="233"/>
      <c r="X368" s="233"/>
      <c r="Y368" s="233"/>
    </row>
    <row r="369" spans="1:25" x14ac:dyDescent="0.2">
      <c r="A369" s="219">
        <v>283</v>
      </c>
      <c r="B369" s="36"/>
      <c r="C369" s="9" t="s">
        <v>355</v>
      </c>
      <c r="D369" s="9"/>
      <c r="E369" s="18" t="s">
        <v>356</v>
      </c>
      <c r="F369" s="155" t="s">
        <v>357</v>
      </c>
      <c r="G369" s="294"/>
      <c r="H369" s="260"/>
      <c r="I369" s="379"/>
      <c r="J369" s="379"/>
      <c r="K369" s="379"/>
      <c r="L369" s="379"/>
      <c r="M369" s="379"/>
      <c r="N369" s="379"/>
      <c r="O369" s="379"/>
      <c r="P369" s="379"/>
      <c r="Q369" s="379"/>
      <c r="R369" s="379"/>
      <c r="S369" s="379"/>
      <c r="T369" s="379"/>
      <c r="U369" s="101"/>
      <c r="V369" s="101"/>
      <c r="W369" s="101"/>
      <c r="X369" s="101"/>
      <c r="Y369" s="101"/>
    </row>
    <row r="370" spans="1:25" x14ac:dyDescent="0.2">
      <c r="A370" s="219">
        <v>284</v>
      </c>
      <c r="B370" s="36"/>
      <c r="C370" s="9" t="s">
        <v>358</v>
      </c>
      <c r="D370" s="9"/>
      <c r="E370" s="18" t="s">
        <v>359</v>
      </c>
      <c r="F370" s="155" t="s">
        <v>360</v>
      </c>
      <c r="G370" s="294"/>
      <c r="H370" s="260"/>
      <c r="I370" s="379"/>
      <c r="J370" s="379"/>
      <c r="K370" s="379"/>
      <c r="L370" s="379"/>
      <c r="M370" s="379"/>
      <c r="N370" s="379"/>
      <c r="O370" s="379"/>
      <c r="P370" s="379"/>
      <c r="Q370" s="379"/>
      <c r="R370" s="379"/>
      <c r="S370" s="379"/>
      <c r="T370" s="379"/>
      <c r="U370" s="101"/>
      <c r="V370" s="101"/>
      <c r="W370" s="101"/>
      <c r="X370" s="101"/>
      <c r="Y370" s="101"/>
    </row>
    <row r="371" spans="1:25" x14ac:dyDescent="0.2">
      <c r="A371" s="219">
        <v>285</v>
      </c>
      <c r="B371" s="36"/>
      <c r="C371" s="9" t="s">
        <v>361</v>
      </c>
      <c r="D371" s="9"/>
      <c r="E371" s="18" t="s">
        <v>359</v>
      </c>
      <c r="F371" s="155" t="s">
        <v>362</v>
      </c>
      <c r="G371" s="294"/>
      <c r="H371" s="260"/>
      <c r="I371" s="379"/>
      <c r="J371" s="379"/>
      <c r="K371" s="379"/>
      <c r="L371" s="379"/>
      <c r="M371" s="379"/>
      <c r="N371" s="379"/>
      <c r="O371" s="379"/>
      <c r="P371" s="379"/>
      <c r="Q371" s="379"/>
      <c r="R371" s="379"/>
      <c r="S371" s="379"/>
      <c r="T371" s="379"/>
      <c r="U371" s="101"/>
      <c r="V371" s="101"/>
      <c r="W371" s="101"/>
      <c r="X371" s="101"/>
      <c r="Y371" s="101"/>
    </row>
    <row r="372" spans="1:25" x14ac:dyDescent="0.2">
      <c r="A372" s="219">
        <v>286</v>
      </c>
      <c r="B372" s="36"/>
      <c r="C372" s="9" t="s">
        <v>180</v>
      </c>
      <c r="D372" s="9"/>
      <c r="E372" s="18" t="s">
        <v>181</v>
      </c>
      <c r="F372" s="155" t="s">
        <v>360</v>
      </c>
      <c r="G372" s="294"/>
      <c r="H372" s="260"/>
      <c r="I372" s="379"/>
      <c r="J372" s="379"/>
      <c r="K372" s="379"/>
      <c r="L372" s="379"/>
      <c r="M372" s="379"/>
      <c r="N372" s="379"/>
      <c r="O372" s="379"/>
      <c r="P372" s="379"/>
      <c r="Q372" s="379"/>
      <c r="R372" s="379"/>
      <c r="S372" s="379"/>
      <c r="T372" s="379"/>
      <c r="U372" s="101"/>
      <c r="V372" s="101"/>
      <c r="W372" s="101"/>
      <c r="X372" s="101"/>
      <c r="Y372" s="101"/>
    </row>
    <row r="373" spans="1:25" x14ac:dyDescent="0.2">
      <c r="A373" s="219">
        <v>287</v>
      </c>
      <c r="B373" s="36"/>
      <c r="C373" s="9" t="s">
        <v>171</v>
      </c>
      <c r="D373" s="9"/>
      <c r="E373" s="18" t="s">
        <v>172</v>
      </c>
      <c r="F373" s="155" t="s">
        <v>363</v>
      </c>
      <c r="G373" s="294"/>
      <c r="H373" s="260"/>
      <c r="I373" s="379"/>
      <c r="J373" s="379"/>
      <c r="K373" s="379"/>
      <c r="L373" s="379"/>
      <c r="M373" s="379"/>
      <c r="N373" s="379"/>
      <c r="O373" s="379"/>
      <c r="P373" s="379"/>
      <c r="Q373" s="379"/>
      <c r="R373" s="379"/>
      <c r="S373" s="379"/>
      <c r="T373" s="379"/>
      <c r="U373" s="101"/>
      <c r="V373" s="101"/>
      <c r="W373" s="101"/>
      <c r="X373" s="101"/>
      <c r="Y373" s="101"/>
    </row>
    <row r="374" spans="1:25" x14ac:dyDescent="0.2">
      <c r="A374" s="219">
        <v>288</v>
      </c>
      <c r="B374" s="36"/>
      <c r="C374" s="85" t="s">
        <v>196</v>
      </c>
      <c r="D374" s="9"/>
      <c r="E374" s="18"/>
      <c r="F374" s="155"/>
      <c r="G374" s="294"/>
      <c r="H374" s="260"/>
      <c r="I374" s="379"/>
      <c r="J374" s="379"/>
      <c r="K374" s="379"/>
      <c r="L374" s="379"/>
      <c r="M374" s="379"/>
      <c r="N374" s="379"/>
      <c r="O374" s="379"/>
      <c r="P374" s="379"/>
      <c r="Q374" s="379"/>
      <c r="R374" s="379"/>
      <c r="S374" s="379"/>
      <c r="T374" s="379"/>
      <c r="U374" s="101"/>
      <c r="V374" s="101"/>
      <c r="W374" s="101"/>
      <c r="X374" s="101"/>
      <c r="Y374" s="101"/>
    </row>
    <row r="375" spans="1:25" x14ac:dyDescent="0.2">
      <c r="A375" s="219">
        <v>289</v>
      </c>
      <c r="B375" s="36"/>
      <c r="C375" s="85"/>
      <c r="D375" s="9"/>
      <c r="E375" s="18"/>
      <c r="F375" s="155"/>
      <c r="G375" s="294"/>
      <c r="H375" s="260"/>
      <c r="I375" s="379"/>
      <c r="J375" s="379"/>
      <c r="K375" s="379"/>
      <c r="L375" s="379"/>
      <c r="M375" s="379"/>
      <c r="N375" s="379"/>
      <c r="O375" s="379"/>
      <c r="P375" s="379"/>
      <c r="Q375" s="379"/>
      <c r="R375" s="379"/>
      <c r="S375" s="379"/>
      <c r="T375" s="379"/>
      <c r="U375" s="101"/>
      <c r="V375" s="101"/>
      <c r="W375" s="101"/>
      <c r="X375" s="101"/>
      <c r="Y375" s="101"/>
    </row>
    <row r="376" spans="1:25" ht="15" thickBot="1" x14ac:dyDescent="0.25">
      <c r="A376" s="219">
        <v>290</v>
      </c>
      <c r="B376" s="83"/>
      <c r="D376" s="13"/>
      <c r="E376" s="14"/>
      <c r="F376" s="163"/>
      <c r="G376" s="306"/>
      <c r="H376" s="275"/>
      <c r="I376" s="379"/>
      <c r="J376" s="379"/>
      <c r="K376" s="379"/>
      <c r="L376" s="379"/>
      <c r="M376" s="379"/>
      <c r="N376" s="379"/>
      <c r="O376" s="379"/>
      <c r="P376" s="379"/>
      <c r="Q376" s="379"/>
      <c r="R376" s="379"/>
      <c r="S376" s="379"/>
      <c r="T376" s="379"/>
      <c r="U376" s="101"/>
      <c r="V376" s="101"/>
      <c r="W376" s="101"/>
      <c r="X376" s="101"/>
      <c r="Y376" s="101"/>
    </row>
    <row r="377" spans="1:25" ht="15" x14ac:dyDescent="0.25">
      <c r="A377" s="226"/>
      <c r="B377" s="115" t="s">
        <v>364</v>
      </c>
      <c r="C377" s="123"/>
      <c r="D377" s="123"/>
      <c r="E377" s="135"/>
      <c r="F377" s="171"/>
      <c r="G377" s="314"/>
      <c r="H377" s="284"/>
      <c r="I377" s="379"/>
      <c r="J377" s="379"/>
      <c r="K377" s="379"/>
      <c r="L377" s="379"/>
      <c r="M377" s="379"/>
      <c r="N377" s="379"/>
      <c r="O377" s="379"/>
      <c r="P377" s="379"/>
      <c r="Q377" s="379"/>
      <c r="R377" s="379"/>
      <c r="S377" s="379"/>
      <c r="T377" s="379"/>
      <c r="U377" s="101"/>
      <c r="V377" s="101"/>
      <c r="W377" s="101"/>
      <c r="X377" s="101"/>
      <c r="Y377" s="101"/>
    </row>
    <row r="378" spans="1:25" ht="15.75" thickBot="1" x14ac:dyDescent="0.3">
      <c r="A378" s="227">
        <v>291</v>
      </c>
      <c r="B378" s="124"/>
      <c r="C378" s="125"/>
      <c r="D378" s="117" t="s">
        <v>365</v>
      </c>
      <c r="E378" s="127"/>
      <c r="F378" s="172"/>
      <c r="G378" s="315">
        <f>SUM(G369:G376)</f>
        <v>0</v>
      </c>
      <c r="H378" s="285"/>
      <c r="I378" s="379"/>
      <c r="J378" s="379"/>
      <c r="K378" s="379"/>
      <c r="L378" s="379"/>
      <c r="M378" s="379"/>
      <c r="N378" s="379"/>
      <c r="O378" s="379"/>
      <c r="P378" s="379"/>
      <c r="Q378" s="379"/>
      <c r="R378" s="379"/>
      <c r="S378" s="379"/>
      <c r="T378" s="379"/>
      <c r="U378" s="101"/>
      <c r="V378" s="101"/>
      <c r="W378" s="101"/>
      <c r="X378" s="101"/>
      <c r="Y378" s="101"/>
    </row>
    <row r="379" spans="1:25" x14ac:dyDescent="0.2">
      <c r="A379" s="224"/>
      <c r="B379" s="35"/>
      <c r="C379" s="12"/>
      <c r="D379" s="12"/>
      <c r="E379" s="16"/>
      <c r="F379" s="167"/>
      <c r="G379" s="310"/>
      <c r="H379" s="280"/>
      <c r="I379" s="379"/>
      <c r="J379" s="379"/>
      <c r="K379" s="379"/>
      <c r="L379" s="379"/>
      <c r="M379" s="379"/>
      <c r="N379" s="379"/>
      <c r="O379" s="379"/>
      <c r="P379" s="379"/>
      <c r="Q379" s="379"/>
      <c r="R379" s="379"/>
      <c r="S379" s="379"/>
      <c r="T379" s="379"/>
      <c r="U379" s="101"/>
      <c r="V379" s="101"/>
      <c r="W379" s="101"/>
      <c r="X379" s="101"/>
      <c r="Y379" s="101"/>
    </row>
    <row r="380" spans="1:25" s="4" customFormat="1" ht="15" x14ac:dyDescent="0.25">
      <c r="A380" s="219"/>
      <c r="B380" s="52" t="s">
        <v>366</v>
      </c>
      <c r="C380" s="53"/>
      <c r="D380" s="53"/>
      <c r="E380" s="61"/>
      <c r="F380" s="154"/>
      <c r="G380" s="293"/>
      <c r="H380" s="259"/>
      <c r="I380" s="379"/>
      <c r="J380" s="379"/>
      <c r="K380" s="379"/>
      <c r="L380" s="379"/>
      <c r="M380" s="379"/>
      <c r="N380" s="379"/>
      <c r="O380" s="379"/>
      <c r="P380" s="379"/>
      <c r="Q380" s="379"/>
      <c r="R380" s="379"/>
      <c r="S380" s="379"/>
      <c r="T380" s="379"/>
      <c r="U380" s="233"/>
      <c r="V380" s="233"/>
      <c r="W380" s="233"/>
      <c r="X380" s="233"/>
      <c r="Y380" s="233"/>
    </row>
    <row r="381" spans="1:25" x14ac:dyDescent="0.2">
      <c r="A381" s="219"/>
      <c r="B381" s="36"/>
      <c r="C381" s="9" t="s">
        <v>367</v>
      </c>
      <c r="D381" s="9"/>
      <c r="E381" s="61"/>
      <c r="F381" s="154"/>
      <c r="G381" s="293"/>
      <c r="H381" s="259"/>
      <c r="I381" s="379"/>
      <c r="J381" s="379"/>
      <c r="K381" s="379"/>
      <c r="L381" s="379"/>
      <c r="M381" s="379"/>
      <c r="N381" s="379"/>
      <c r="O381" s="379"/>
      <c r="P381" s="379"/>
      <c r="Q381" s="379"/>
      <c r="R381" s="379"/>
      <c r="S381" s="379"/>
      <c r="T381" s="379"/>
      <c r="U381" s="101"/>
      <c r="V381" s="101"/>
      <c r="W381" s="101"/>
      <c r="X381" s="101"/>
      <c r="Y381" s="101"/>
    </row>
    <row r="382" spans="1:25" x14ac:dyDescent="0.2">
      <c r="A382" s="219">
        <v>292</v>
      </c>
      <c r="B382" s="36"/>
      <c r="C382" s="9"/>
      <c r="D382" s="9" t="s">
        <v>368</v>
      </c>
      <c r="E382" s="18" t="s">
        <v>277</v>
      </c>
      <c r="F382" s="155" t="s">
        <v>369</v>
      </c>
      <c r="G382" s="294"/>
      <c r="H382" s="260"/>
      <c r="I382" s="379"/>
      <c r="J382" s="379"/>
      <c r="K382" s="379"/>
      <c r="L382" s="379"/>
      <c r="M382" s="379"/>
      <c r="N382" s="379"/>
      <c r="O382" s="379"/>
      <c r="P382" s="379"/>
      <c r="Q382" s="379"/>
      <c r="R382" s="379"/>
      <c r="S382" s="379"/>
      <c r="T382" s="379"/>
      <c r="U382" s="101"/>
      <c r="V382" s="101"/>
      <c r="W382" s="101"/>
      <c r="X382" s="101"/>
      <c r="Y382" s="101"/>
    </row>
    <row r="383" spans="1:25" x14ac:dyDescent="0.2">
      <c r="A383" s="219">
        <v>293</v>
      </c>
      <c r="B383" s="36"/>
      <c r="C383" s="9"/>
      <c r="D383" s="9" t="s">
        <v>370</v>
      </c>
      <c r="E383" s="18" t="s">
        <v>280</v>
      </c>
      <c r="F383" s="155" t="s">
        <v>369</v>
      </c>
      <c r="G383" s="294"/>
      <c r="H383" s="260"/>
      <c r="I383" s="379"/>
      <c r="J383" s="379"/>
      <c r="K383" s="379"/>
      <c r="L383" s="379"/>
      <c r="M383" s="379"/>
      <c r="N383" s="379"/>
      <c r="O383" s="379"/>
      <c r="P383" s="379"/>
      <c r="Q383" s="379"/>
      <c r="R383" s="379"/>
      <c r="S383" s="379"/>
      <c r="T383" s="379"/>
      <c r="U383" s="101"/>
      <c r="V383" s="101"/>
      <c r="W383" s="101"/>
      <c r="X383" s="101"/>
      <c r="Y383" s="101"/>
    </row>
    <row r="384" spans="1:25" x14ac:dyDescent="0.2">
      <c r="A384" s="219">
        <v>294</v>
      </c>
      <c r="B384" s="36"/>
      <c r="C384" s="9"/>
      <c r="D384" s="9" t="s">
        <v>371</v>
      </c>
      <c r="E384" s="18" t="s">
        <v>372</v>
      </c>
      <c r="F384" s="155" t="s">
        <v>369</v>
      </c>
      <c r="G384" s="294"/>
      <c r="H384" s="260"/>
      <c r="I384" s="379"/>
      <c r="J384" s="379"/>
      <c r="K384" s="379"/>
      <c r="L384" s="379"/>
      <c r="M384" s="379"/>
      <c r="N384" s="379"/>
      <c r="O384" s="379"/>
      <c r="P384" s="379"/>
      <c r="Q384" s="379"/>
      <c r="R384" s="379"/>
      <c r="S384" s="379"/>
      <c r="T384" s="379"/>
      <c r="U384" s="101"/>
      <c r="V384" s="101"/>
      <c r="W384" s="101"/>
      <c r="X384" s="101"/>
      <c r="Y384" s="101"/>
    </row>
    <row r="385" spans="1:25" x14ac:dyDescent="0.2">
      <c r="A385" s="219">
        <v>295</v>
      </c>
      <c r="B385" s="36"/>
      <c r="C385" s="9"/>
      <c r="D385" s="9" t="s">
        <v>182</v>
      </c>
      <c r="E385" s="18" t="s">
        <v>183</v>
      </c>
      <c r="F385" s="155" t="s">
        <v>369</v>
      </c>
      <c r="G385" s="294"/>
      <c r="H385" s="260"/>
      <c r="I385" s="379"/>
      <c r="J385" s="379"/>
      <c r="K385" s="379"/>
      <c r="L385" s="379"/>
      <c r="M385" s="379"/>
      <c r="N385" s="379"/>
      <c r="O385" s="379"/>
      <c r="P385" s="379"/>
      <c r="Q385" s="379"/>
      <c r="R385" s="379"/>
      <c r="S385" s="379"/>
      <c r="T385" s="379"/>
      <c r="U385" s="101"/>
      <c r="V385" s="101"/>
      <c r="W385" s="101"/>
      <c r="X385" s="101"/>
      <c r="Y385" s="101"/>
    </row>
    <row r="386" spans="1:25" x14ac:dyDescent="0.2">
      <c r="A386" s="219">
        <v>296</v>
      </c>
      <c r="B386" s="36"/>
      <c r="C386" s="85" t="s">
        <v>196</v>
      </c>
      <c r="D386" s="9"/>
      <c r="E386" s="18"/>
      <c r="F386" s="155"/>
      <c r="G386" s="294"/>
      <c r="H386" s="260"/>
      <c r="I386" s="379"/>
      <c r="J386" s="379"/>
      <c r="K386" s="379"/>
      <c r="L386" s="379"/>
      <c r="M386" s="379"/>
      <c r="N386" s="379"/>
      <c r="O386" s="379"/>
      <c r="P386" s="379"/>
      <c r="Q386" s="379"/>
      <c r="R386" s="379"/>
      <c r="S386" s="379"/>
      <c r="T386" s="379"/>
      <c r="U386" s="101"/>
      <c r="V386" s="101"/>
      <c r="W386" s="101"/>
      <c r="X386" s="101"/>
      <c r="Y386" s="101"/>
    </row>
    <row r="387" spans="1:25" x14ac:dyDescent="0.2">
      <c r="A387" s="219">
        <v>297</v>
      </c>
      <c r="B387" s="36"/>
      <c r="C387" s="85"/>
      <c r="D387" s="9"/>
      <c r="E387" s="18"/>
      <c r="F387" s="155"/>
      <c r="G387" s="294"/>
      <c r="H387" s="260"/>
      <c r="I387" s="379"/>
      <c r="J387" s="379"/>
      <c r="K387" s="379"/>
      <c r="L387" s="379"/>
      <c r="M387" s="379"/>
      <c r="N387" s="379"/>
      <c r="O387" s="379"/>
      <c r="P387" s="379"/>
      <c r="Q387" s="379"/>
      <c r="R387" s="379"/>
      <c r="S387" s="379"/>
      <c r="T387" s="379"/>
      <c r="U387" s="101"/>
      <c r="V387" s="101"/>
      <c r="W387" s="101"/>
      <c r="X387" s="101"/>
      <c r="Y387" s="101"/>
    </row>
    <row r="388" spans="1:25" ht="15" thickBot="1" x14ac:dyDescent="0.25">
      <c r="A388" s="219">
        <v>298</v>
      </c>
      <c r="B388" s="83"/>
      <c r="D388" s="13"/>
      <c r="E388" s="14"/>
      <c r="F388" s="163"/>
      <c r="G388" s="306"/>
      <c r="H388" s="275"/>
      <c r="I388" s="379"/>
      <c r="J388" s="379"/>
      <c r="K388" s="379"/>
      <c r="L388" s="379"/>
      <c r="M388" s="379"/>
      <c r="N388" s="379"/>
      <c r="O388" s="379"/>
      <c r="P388" s="379"/>
      <c r="Q388" s="379"/>
      <c r="R388" s="379"/>
      <c r="S388" s="379"/>
      <c r="T388" s="379"/>
      <c r="U388" s="101"/>
      <c r="V388" s="101"/>
      <c r="W388" s="101"/>
      <c r="X388" s="101"/>
      <c r="Y388" s="101"/>
    </row>
    <row r="389" spans="1:25" ht="15.75" thickBot="1" x14ac:dyDescent="0.3">
      <c r="A389" s="223">
        <v>299</v>
      </c>
      <c r="B389" s="75" t="s">
        <v>373</v>
      </c>
      <c r="C389" s="76"/>
      <c r="D389" s="76"/>
      <c r="E389" s="45"/>
      <c r="F389" s="162"/>
      <c r="G389" s="303">
        <f>SUM(G381:G388)</f>
        <v>0</v>
      </c>
      <c r="H389" s="279"/>
      <c r="I389" s="379"/>
      <c r="J389" s="379"/>
      <c r="K389" s="379"/>
      <c r="L389" s="379"/>
      <c r="M389" s="379"/>
      <c r="N389" s="379"/>
      <c r="O389" s="379"/>
      <c r="P389" s="379"/>
      <c r="Q389" s="379"/>
      <c r="R389" s="379"/>
      <c r="S389" s="379"/>
      <c r="T389" s="379"/>
      <c r="U389" s="101"/>
      <c r="V389" s="101"/>
      <c r="W389" s="101"/>
      <c r="X389" s="101"/>
      <c r="Y389" s="101"/>
    </row>
    <row r="390" spans="1:25" ht="15" thickBot="1" x14ac:dyDescent="0.25">
      <c r="A390" s="219"/>
      <c r="B390" s="36"/>
      <c r="C390" s="9"/>
      <c r="D390" s="9"/>
      <c r="E390" s="18"/>
      <c r="F390" s="155"/>
      <c r="G390" s="294"/>
      <c r="H390" s="260"/>
      <c r="I390" s="379"/>
      <c r="J390" s="379"/>
      <c r="K390" s="379"/>
      <c r="L390" s="379"/>
      <c r="M390" s="379"/>
      <c r="N390" s="379"/>
      <c r="O390" s="379"/>
      <c r="P390" s="379"/>
      <c r="Q390" s="379"/>
      <c r="R390" s="379"/>
      <c r="S390" s="379"/>
      <c r="T390" s="379"/>
      <c r="U390" s="101"/>
      <c r="V390" s="101"/>
      <c r="W390" s="101"/>
      <c r="X390" s="101"/>
      <c r="Y390" s="101"/>
    </row>
    <row r="391" spans="1:25" ht="15.75" thickBot="1" x14ac:dyDescent="0.3">
      <c r="A391" s="223">
        <v>300</v>
      </c>
      <c r="B391" s="75" t="s">
        <v>374</v>
      </c>
      <c r="C391" s="76"/>
      <c r="D391" s="76"/>
      <c r="E391" s="45"/>
      <c r="F391" s="162"/>
      <c r="G391" s="303">
        <f>+G154+G326+G367+G378+G389</f>
        <v>4920054.5758361053</v>
      </c>
      <c r="H391" s="279"/>
      <c r="I391" s="379"/>
      <c r="J391" s="379"/>
      <c r="K391" s="379"/>
      <c r="L391" s="379"/>
      <c r="M391" s="379"/>
      <c r="N391" s="379"/>
      <c r="O391" s="379"/>
      <c r="P391" s="379"/>
      <c r="Q391" s="379"/>
      <c r="R391" s="379"/>
      <c r="S391" s="379"/>
      <c r="T391" s="379"/>
      <c r="U391" s="101"/>
      <c r="V391" s="101"/>
      <c r="W391" s="101"/>
      <c r="X391" s="101"/>
      <c r="Y391" s="101"/>
    </row>
    <row r="392" spans="1:25" x14ac:dyDescent="0.2">
      <c r="A392" s="219"/>
      <c r="B392" s="36"/>
      <c r="C392" s="9"/>
      <c r="D392" s="9"/>
      <c r="E392" s="18"/>
      <c r="F392" s="155"/>
      <c r="G392" s="294"/>
      <c r="H392" s="260"/>
      <c r="I392" s="379"/>
      <c r="J392" s="379"/>
      <c r="K392" s="379"/>
      <c r="L392" s="379"/>
      <c r="M392" s="379"/>
      <c r="N392" s="379"/>
      <c r="O392" s="379"/>
      <c r="P392" s="379"/>
      <c r="Q392" s="379"/>
      <c r="R392" s="379"/>
      <c r="S392" s="379"/>
      <c r="T392" s="379"/>
      <c r="U392" s="101"/>
      <c r="V392" s="101"/>
      <c r="W392" s="101"/>
      <c r="X392" s="101"/>
      <c r="Y392" s="101"/>
    </row>
    <row r="393" spans="1:25" s="4" customFormat="1" ht="15" x14ac:dyDescent="0.25">
      <c r="A393" s="219"/>
      <c r="B393" s="86" t="s">
        <v>375</v>
      </c>
      <c r="C393" s="11"/>
      <c r="D393" s="11"/>
      <c r="E393" s="77"/>
      <c r="F393" s="166"/>
      <c r="G393" s="309"/>
      <c r="H393" s="278"/>
      <c r="I393" s="236"/>
      <c r="J393" s="236"/>
      <c r="K393" s="236"/>
      <c r="L393" s="236"/>
      <c r="M393" s="236"/>
      <c r="N393" s="236"/>
      <c r="O393" s="236"/>
      <c r="P393" s="236"/>
      <c r="Q393" s="236"/>
      <c r="R393" s="236"/>
      <c r="S393" s="236"/>
      <c r="T393" s="236"/>
      <c r="U393" s="233"/>
      <c r="V393" s="233"/>
      <c r="W393" s="233"/>
      <c r="X393" s="233"/>
      <c r="Y393" s="233"/>
    </row>
    <row r="394" spans="1:25" x14ac:dyDescent="0.2">
      <c r="A394" s="219">
        <v>301</v>
      </c>
      <c r="B394" s="36" t="s">
        <v>376</v>
      </c>
      <c r="C394" s="9"/>
      <c r="D394" s="9"/>
      <c r="E394" s="18" t="s">
        <v>212</v>
      </c>
      <c r="F394" s="155" t="s">
        <v>377</v>
      </c>
      <c r="G394" s="294"/>
      <c r="H394" s="260"/>
      <c r="I394" s="379"/>
      <c r="J394" s="379"/>
      <c r="K394" s="379"/>
      <c r="L394" s="379"/>
      <c r="M394" s="379"/>
      <c r="N394" s="379"/>
      <c r="O394" s="379"/>
      <c r="P394" s="379"/>
      <c r="Q394" s="379"/>
      <c r="R394" s="379"/>
      <c r="S394" s="379"/>
      <c r="T394" s="379"/>
      <c r="U394" s="101"/>
      <c r="V394" s="101"/>
      <c r="W394" s="101"/>
      <c r="X394" s="101"/>
      <c r="Y394" s="101"/>
    </row>
    <row r="395" spans="1:25" ht="15" thickBot="1" x14ac:dyDescent="0.25">
      <c r="A395" s="219">
        <v>302</v>
      </c>
      <c r="B395" s="36"/>
      <c r="C395" s="9"/>
      <c r="D395" s="9"/>
      <c r="E395" s="18"/>
      <c r="F395" s="155"/>
      <c r="G395" s="294"/>
      <c r="H395" s="260"/>
      <c r="I395" s="379"/>
      <c r="J395" s="379"/>
      <c r="K395" s="379"/>
      <c r="L395" s="379"/>
      <c r="M395" s="379"/>
      <c r="N395" s="379"/>
      <c r="O395" s="379"/>
      <c r="P395" s="379"/>
      <c r="Q395" s="379"/>
      <c r="R395" s="379"/>
      <c r="S395" s="379"/>
      <c r="T395" s="379"/>
      <c r="U395" s="101"/>
      <c r="V395" s="101"/>
      <c r="W395" s="101"/>
      <c r="X395" s="101"/>
      <c r="Y395" s="101"/>
    </row>
    <row r="396" spans="1:25" ht="15.75" thickBot="1" x14ac:dyDescent="0.3">
      <c r="A396" s="223">
        <v>303</v>
      </c>
      <c r="B396" s="75" t="s">
        <v>378</v>
      </c>
      <c r="C396" s="76"/>
      <c r="D396" s="76"/>
      <c r="E396" s="45"/>
      <c r="F396" s="162"/>
      <c r="G396" s="303">
        <f>SUM(G392:G395)</f>
        <v>0</v>
      </c>
      <c r="H396" s="279"/>
      <c r="I396" s="379"/>
      <c r="J396" s="379"/>
      <c r="K396" s="379"/>
      <c r="L396" s="379"/>
      <c r="M396" s="379"/>
      <c r="N396" s="379"/>
      <c r="O396" s="379"/>
      <c r="P396" s="379"/>
      <c r="Q396" s="379"/>
      <c r="R396" s="379"/>
      <c r="S396" s="379"/>
      <c r="T396" s="379"/>
      <c r="U396" s="101"/>
      <c r="V396" s="101"/>
      <c r="W396" s="101"/>
      <c r="X396" s="101"/>
      <c r="Y396" s="101"/>
    </row>
    <row r="397" spans="1:25" ht="15" thickBot="1" x14ac:dyDescent="0.25">
      <c r="A397" s="219"/>
      <c r="B397" s="36"/>
      <c r="C397" s="9"/>
      <c r="D397" s="9"/>
      <c r="E397" s="18"/>
      <c r="F397" s="155"/>
      <c r="G397" s="294"/>
      <c r="H397" s="260"/>
      <c r="I397" s="379"/>
      <c r="J397" s="379"/>
      <c r="K397" s="379"/>
      <c r="L397" s="379"/>
      <c r="M397" s="379"/>
      <c r="N397" s="379"/>
      <c r="O397" s="379"/>
      <c r="P397" s="379"/>
      <c r="Q397" s="379"/>
      <c r="R397" s="379"/>
      <c r="S397" s="379"/>
      <c r="T397" s="379"/>
      <c r="U397" s="101"/>
      <c r="V397" s="101"/>
      <c r="W397" s="101"/>
      <c r="X397" s="101"/>
      <c r="Y397" s="101"/>
    </row>
    <row r="398" spans="1:25" s="4" customFormat="1" ht="15.75" thickBot="1" x14ac:dyDescent="0.3">
      <c r="A398" s="229" t="s">
        <v>379</v>
      </c>
      <c r="B398" s="75"/>
      <c r="C398" s="76"/>
      <c r="D398" s="76"/>
      <c r="E398" s="119"/>
      <c r="F398" s="173"/>
      <c r="G398" s="316"/>
      <c r="H398" s="286"/>
      <c r="I398" s="236"/>
      <c r="J398" s="236"/>
      <c r="K398" s="236"/>
      <c r="L398" s="236"/>
      <c r="M398" s="236"/>
      <c r="N398" s="236"/>
      <c r="O398" s="236"/>
      <c r="P398" s="236"/>
      <c r="Q398" s="236"/>
      <c r="R398" s="236"/>
      <c r="S398" s="236"/>
      <c r="T398" s="236"/>
      <c r="U398" s="233"/>
      <c r="V398" s="233"/>
      <c r="W398" s="233"/>
      <c r="X398" s="233"/>
      <c r="Y398" s="233"/>
    </row>
    <row r="399" spans="1:25" ht="15" x14ac:dyDescent="0.25">
      <c r="A399" s="226"/>
      <c r="B399" s="130"/>
      <c r="C399" s="129" t="s">
        <v>380</v>
      </c>
      <c r="D399" s="118"/>
      <c r="E399" s="135"/>
      <c r="F399" s="171"/>
      <c r="G399" s="314"/>
      <c r="H399" s="284"/>
      <c r="I399" s="379"/>
      <c r="J399" s="379"/>
      <c r="K399" s="379"/>
      <c r="L399" s="379"/>
      <c r="M399" s="379"/>
      <c r="N399" s="379"/>
      <c r="O399" s="379"/>
      <c r="P399" s="379"/>
      <c r="Q399" s="379"/>
      <c r="R399" s="379"/>
      <c r="S399" s="379"/>
      <c r="T399" s="379"/>
      <c r="U399" s="101"/>
      <c r="V399" s="101"/>
      <c r="W399" s="101"/>
      <c r="X399" s="101"/>
      <c r="Y399" s="101"/>
    </row>
    <row r="400" spans="1:25" ht="15.75" thickBot="1" x14ac:dyDescent="0.3">
      <c r="A400" s="249">
        <v>304</v>
      </c>
      <c r="B400" s="250"/>
      <c r="C400" s="251" t="s">
        <v>381</v>
      </c>
      <c r="D400" s="252"/>
      <c r="E400" s="253"/>
      <c r="F400" s="254"/>
      <c r="G400" s="317">
        <f>+G70-G391-G396</f>
        <v>99620.658946190029</v>
      </c>
      <c r="H400" s="287"/>
      <c r="I400" s="379"/>
      <c r="J400" s="379"/>
      <c r="K400" s="379"/>
      <c r="L400" s="379"/>
      <c r="M400" s="379"/>
      <c r="N400" s="379"/>
      <c r="O400" s="379"/>
      <c r="P400" s="379"/>
      <c r="Q400" s="379"/>
      <c r="R400" s="379"/>
      <c r="S400" s="379"/>
      <c r="T400" s="379"/>
      <c r="U400" s="101"/>
      <c r="V400" s="101"/>
      <c r="W400" s="101"/>
      <c r="X400" s="101"/>
      <c r="Y400" s="101"/>
    </row>
    <row r="401" spans="1:25" ht="15" thickTop="1" x14ac:dyDescent="0.2">
      <c r="A401" s="215"/>
      <c r="G401" s="318"/>
      <c r="H401" s="273"/>
      <c r="I401" s="371"/>
      <c r="J401" s="371"/>
      <c r="K401" s="371"/>
      <c r="L401" s="371"/>
      <c r="M401" s="101"/>
      <c r="N401" s="101"/>
      <c r="O401" s="101"/>
      <c r="P401" s="101"/>
      <c r="Q401" s="101"/>
      <c r="R401" s="101"/>
      <c r="S401" s="101"/>
      <c r="T401" s="101"/>
      <c r="U401" s="101"/>
      <c r="V401" s="101"/>
      <c r="W401" s="101"/>
      <c r="X401" s="101"/>
      <c r="Y401" s="101"/>
    </row>
    <row r="402" spans="1:25" x14ac:dyDescent="0.2">
      <c r="A402" s="215"/>
      <c r="G402" s="318">
        <f>+'Operating Statement of Act'!G401</f>
        <v>99620.658946190029</v>
      </c>
      <c r="H402" s="273"/>
      <c r="I402" s="371"/>
      <c r="J402" s="371"/>
      <c r="K402" s="371"/>
      <c r="L402" s="371"/>
      <c r="M402" s="101"/>
      <c r="N402" s="101"/>
      <c r="O402" s="101"/>
      <c r="P402" s="101"/>
      <c r="Q402" s="101"/>
      <c r="R402" s="101"/>
      <c r="S402" s="101"/>
      <c r="T402" s="101"/>
      <c r="U402" s="101"/>
      <c r="V402" s="101"/>
      <c r="W402" s="101"/>
      <c r="X402" s="101"/>
      <c r="Y402" s="101"/>
    </row>
    <row r="403" spans="1:25" x14ac:dyDescent="0.2">
      <c r="A403" s="215"/>
      <c r="G403" s="318">
        <f>+G402-G400</f>
        <v>0</v>
      </c>
      <c r="H403" s="273"/>
      <c r="I403" s="371"/>
      <c r="J403" s="371"/>
      <c r="K403" s="371"/>
      <c r="L403" s="371"/>
      <c r="M403" s="101"/>
      <c r="N403" s="101"/>
      <c r="O403" s="101"/>
      <c r="P403" s="101"/>
      <c r="Q403" s="101"/>
      <c r="R403" s="101"/>
      <c r="S403" s="101"/>
      <c r="T403" s="101"/>
      <c r="U403" s="101"/>
      <c r="V403" s="101"/>
      <c r="W403" s="101"/>
      <c r="X403" s="101"/>
      <c r="Y403" s="101"/>
    </row>
    <row r="404" spans="1:25" x14ac:dyDescent="0.2">
      <c r="A404" s="215"/>
      <c r="G404" s="318"/>
      <c r="H404" s="273"/>
      <c r="I404" s="371"/>
      <c r="J404" s="371"/>
      <c r="K404" s="371"/>
      <c r="L404" s="371"/>
      <c r="M404" s="101"/>
      <c r="N404" s="101"/>
      <c r="O404" s="101"/>
      <c r="P404" s="101"/>
      <c r="Q404" s="101"/>
      <c r="R404" s="101"/>
      <c r="S404" s="101"/>
      <c r="T404" s="101"/>
      <c r="U404" s="101"/>
      <c r="V404" s="101"/>
      <c r="W404" s="101"/>
      <c r="X404" s="101"/>
      <c r="Y404" s="101"/>
    </row>
    <row r="405" spans="1:25" x14ac:dyDescent="0.2">
      <c r="A405" s="215"/>
      <c r="G405" s="318"/>
      <c r="H405" s="273"/>
      <c r="I405" s="101"/>
      <c r="J405" s="101"/>
      <c r="K405" s="101"/>
      <c r="L405" s="101"/>
      <c r="M405" s="101"/>
      <c r="N405" s="101"/>
      <c r="O405" s="101"/>
      <c r="P405" s="101"/>
      <c r="Q405" s="101"/>
      <c r="R405" s="101"/>
      <c r="S405" s="101"/>
      <c r="T405" s="101"/>
      <c r="U405" s="101"/>
      <c r="V405" s="101"/>
      <c r="W405" s="101"/>
      <c r="X405" s="101"/>
      <c r="Y405" s="101"/>
    </row>
    <row r="406" spans="1:25" x14ac:dyDescent="0.2">
      <c r="A406" s="215"/>
      <c r="G406" s="318"/>
      <c r="H406" s="273"/>
      <c r="I406" s="101"/>
      <c r="J406" s="101"/>
      <c r="K406" s="101"/>
      <c r="L406" s="101"/>
      <c r="M406" s="101"/>
      <c r="N406" s="101"/>
      <c r="O406" s="101"/>
      <c r="P406" s="101"/>
      <c r="Q406" s="101"/>
      <c r="R406" s="101"/>
      <c r="S406" s="101"/>
      <c r="T406" s="101"/>
      <c r="U406" s="101"/>
      <c r="V406" s="101"/>
      <c r="W406" s="101"/>
      <c r="X406" s="101"/>
      <c r="Y406" s="101"/>
    </row>
    <row r="407" spans="1:25" x14ac:dyDescent="0.2">
      <c r="A407" s="215"/>
      <c r="G407" s="318"/>
      <c r="H407" s="273"/>
      <c r="I407" s="101"/>
      <c r="J407" s="101"/>
      <c r="K407" s="101"/>
      <c r="L407" s="101"/>
      <c r="M407" s="101"/>
      <c r="N407" s="101"/>
      <c r="O407" s="101"/>
      <c r="P407" s="101"/>
      <c r="Q407" s="101"/>
      <c r="R407" s="101"/>
      <c r="S407" s="101"/>
      <c r="T407" s="101"/>
      <c r="U407" s="101"/>
      <c r="V407" s="101"/>
      <c r="W407" s="101"/>
      <c r="X407" s="101"/>
      <c r="Y407" s="101"/>
    </row>
    <row r="408" spans="1:25" x14ac:dyDescent="0.2">
      <c r="A408" s="215"/>
      <c r="G408" s="318"/>
      <c r="H408" s="273"/>
      <c r="I408" s="101"/>
      <c r="J408" s="101"/>
      <c r="K408" s="101"/>
      <c r="L408" s="101"/>
      <c r="M408" s="101"/>
      <c r="N408" s="101"/>
      <c r="O408" s="101"/>
      <c r="P408" s="101"/>
      <c r="Q408" s="101"/>
      <c r="R408" s="101"/>
      <c r="S408" s="101"/>
      <c r="T408" s="101"/>
      <c r="U408" s="101"/>
      <c r="V408" s="101"/>
      <c r="W408" s="101"/>
      <c r="X408" s="101"/>
      <c r="Y408" s="101"/>
    </row>
    <row r="409" spans="1:25" x14ac:dyDescent="0.2">
      <c r="A409" s="215"/>
      <c r="G409" s="318"/>
    </row>
    <row r="410" spans="1:25" x14ac:dyDescent="0.2">
      <c r="A410" s="215"/>
    </row>
    <row r="411" spans="1:25" x14ac:dyDescent="0.2">
      <c r="A411" s="215"/>
    </row>
    <row r="412" spans="1:25" x14ac:dyDescent="0.2">
      <c r="A412" s="215"/>
    </row>
    <row r="413" spans="1:25" x14ac:dyDescent="0.2">
      <c r="A413" s="215"/>
    </row>
    <row r="414" spans="1:25" x14ac:dyDescent="0.2">
      <c r="A414" s="215"/>
    </row>
    <row r="415" spans="1:25" x14ac:dyDescent="0.2">
      <c r="A415" s="215"/>
    </row>
    <row r="416" spans="1:25" x14ac:dyDescent="0.2">
      <c r="A416" s="215"/>
    </row>
    <row r="417" spans="1:1" x14ac:dyDescent="0.2">
      <c r="A417" s="215"/>
    </row>
    <row r="418" spans="1:1" x14ac:dyDescent="0.2">
      <c r="A418" s="215"/>
    </row>
    <row r="419" spans="1:1" x14ac:dyDescent="0.2">
      <c r="A419" s="215"/>
    </row>
    <row r="420" spans="1:1" x14ac:dyDescent="0.2">
      <c r="A420" s="215"/>
    </row>
    <row r="421" spans="1:1" x14ac:dyDescent="0.2">
      <c r="A421" s="215"/>
    </row>
    <row r="422" spans="1:1" x14ac:dyDescent="0.2">
      <c r="A422" s="215"/>
    </row>
    <row r="423" spans="1:1" x14ac:dyDescent="0.2">
      <c r="A423" s="215"/>
    </row>
    <row r="424" spans="1:1" x14ac:dyDescent="0.2">
      <c r="A424" s="215"/>
    </row>
    <row r="425" spans="1:1" x14ac:dyDescent="0.2">
      <c r="A425" s="215"/>
    </row>
    <row r="426" spans="1:1" x14ac:dyDescent="0.2">
      <c r="A426" s="215"/>
    </row>
    <row r="427" spans="1:1" x14ac:dyDescent="0.2">
      <c r="A427" s="215"/>
    </row>
    <row r="428" spans="1:1" x14ac:dyDescent="0.2">
      <c r="A428" s="215"/>
    </row>
    <row r="429" spans="1:1" x14ac:dyDescent="0.2">
      <c r="A429" s="215"/>
    </row>
    <row r="430" spans="1:1" x14ac:dyDescent="0.2">
      <c r="A430" s="215"/>
    </row>
    <row r="431" spans="1:1" x14ac:dyDescent="0.2">
      <c r="A431" s="215"/>
    </row>
    <row r="432" spans="1:1" x14ac:dyDescent="0.2">
      <c r="A432" s="215"/>
    </row>
    <row r="433" spans="1:1" x14ac:dyDescent="0.2">
      <c r="A433" s="215"/>
    </row>
    <row r="434" spans="1:1" x14ac:dyDescent="0.2">
      <c r="A434" s="215"/>
    </row>
    <row r="435" spans="1:1" x14ac:dyDescent="0.2">
      <c r="A435" s="215"/>
    </row>
    <row r="436" spans="1:1" x14ac:dyDescent="0.2">
      <c r="A436" s="215"/>
    </row>
    <row r="437" spans="1:1" x14ac:dyDescent="0.2">
      <c r="A437" s="215"/>
    </row>
    <row r="438" spans="1:1" x14ac:dyDescent="0.2">
      <c r="A438" s="215"/>
    </row>
    <row r="439" spans="1:1" x14ac:dyDescent="0.2">
      <c r="A439" s="215"/>
    </row>
    <row r="440" spans="1:1" x14ac:dyDescent="0.2">
      <c r="A440" s="215"/>
    </row>
    <row r="441" spans="1:1" x14ac:dyDescent="0.2">
      <c r="A441" s="215"/>
    </row>
    <row r="442" spans="1:1" x14ac:dyDescent="0.2">
      <c r="A442" s="215"/>
    </row>
    <row r="443" spans="1:1" x14ac:dyDescent="0.2">
      <c r="A443" s="215"/>
    </row>
    <row r="444" spans="1:1" x14ac:dyDescent="0.2">
      <c r="A444" s="215"/>
    </row>
    <row r="445" spans="1:1" x14ac:dyDescent="0.2">
      <c r="A445" s="215"/>
    </row>
    <row r="446" spans="1:1" x14ac:dyDescent="0.2">
      <c r="A446" s="215"/>
    </row>
    <row r="447" spans="1:1" x14ac:dyDescent="0.2">
      <c r="A447" s="215"/>
    </row>
    <row r="448" spans="1:1" x14ac:dyDescent="0.2">
      <c r="A448" s="215"/>
    </row>
    <row r="449" spans="1:1" x14ac:dyDescent="0.2">
      <c r="A449" s="215"/>
    </row>
    <row r="450" spans="1:1" x14ac:dyDescent="0.2">
      <c r="A450" s="215"/>
    </row>
    <row r="451" spans="1:1" x14ac:dyDescent="0.2">
      <c r="A451" s="215"/>
    </row>
    <row r="452" spans="1:1" x14ac:dyDescent="0.2">
      <c r="A452" s="215"/>
    </row>
    <row r="453" spans="1:1" x14ac:dyDescent="0.2">
      <c r="A453" s="215"/>
    </row>
    <row r="454" spans="1:1" x14ac:dyDescent="0.2">
      <c r="A454" s="215"/>
    </row>
    <row r="455" spans="1:1" x14ac:dyDescent="0.2">
      <c r="A455" s="215"/>
    </row>
    <row r="456" spans="1:1" x14ac:dyDescent="0.2">
      <c r="A456" s="215"/>
    </row>
    <row r="457" spans="1:1" x14ac:dyDescent="0.2">
      <c r="A457" s="215"/>
    </row>
    <row r="458" spans="1:1" x14ac:dyDescent="0.2">
      <c r="A458" s="215"/>
    </row>
    <row r="459" spans="1:1" x14ac:dyDescent="0.2">
      <c r="A459" s="215"/>
    </row>
    <row r="460" spans="1:1" x14ac:dyDescent="0.2">
      <c r="A460" s="215"/>
    </row>
    <row r="461" spans="1:1" x14ac:dyDescent="0.2">
      <c r="A461" s="215"/>
    </row>
    <row r="462" spans="1:1" x14ac:dyDescent="0.2">
      <c r="A462" s="215"/>
    </row>
    <row r="463" spans="1:1" x14ac:dyDescent="0.2">
      <c r="A463" s="215"/>
    </row>
    <row r="464" spans="1:1" x14ac:dyDescent="0.2">
      <c r="A464" s="215"/>
    </row>
    <row r="465" spans="1:1" x14ac:dyDescent="0.2">
      <c r="A465" s="215"/>
    </row>
    <row r="466" spans="1:1" x14ac:dyDescent="0.2">
      <c r="A466" s="215"/>
    </row>
    <row r="467" spans="1:1" x14ac:dyDescent="0.2">
      <c r="A467" s="215"/>
    </row>
    <row r="468" spans="1:1" x14ac:dyDescent="0.2">
      <c r="A468" s="215"/>
    </row>
    <row r="469" spans="1:1" x14ac:dyDescent="0.2">
      <c r="A469" s="215"/>
    </row>
    <row r="470" spans="1:1" x14ac:dyDescent="0.2">
      <c r="A470" s="215"/>
    </row>
    <row r="471" spans="1:1" x14ac:dyDescent="0.2">
      <c r="A471" s="215"/>
    </row>
    <row r="472" spans="1:1" x14ac:dyDescent="0.2">
      <c r="A472" s="215"/>
    </row>
    <row r="473" spans="1:1" x14ac:dyDescent="0.2">
      <c r="A473" s="215"/>
    </row>
    <row r="474" spans="1:1" x14ac:dyDescent="0.2">
      <c r="A474" s="215"/>
    </row>
    <row r="475" spans="1:1" x14ac:dyDescent="0.2">
      <c r="A475" s="215"/>
    </row>
    <row r="476" spans="1:1" x14ac:dyDescent="0.2">
      <c r="A476" s="215"/>
    </row>
    <row r="477" spans="1:1" x14ac:dyDescent="0.2">
      <c r="A477" s="215"/>
    </row>
    <row r="478" spans="1:1" x14ac:dyDescent="0.2">
      <c r="A478" s="215"/>
    </row>
    <row r="479" spans="1:1" x14ac:dyDescent="0.2">
      <c r="A479" s="215"/>
    </row>
    <row r="480" spans="1:1" x14ac:dyDescent="0.2">
      <c r="A480" s="215"/>
    </row>
    <row r="481" spans="1:1" x14ac:dyDescent="0.2">
      <c r="A481" s="215"/>
    </row>
    <row r="482" spans="1:1" x14ac:dyDescent="0.2">
      <c r="A482" s="215"/>
    </row>
    <row r="483" spans="1:1" x14ac:dyDescent="0.2">
      <c r="A483" s="215"/>
    </row>
    <row r="484" spans="1:1" x14ac:dyDescent="0.2">
      <c r="A484" s="215"/>
    </row>
    <row r="485" spans="1:1" x14ac:dyDescent="0.2">
      <c r="A485" s="215"/>
    </row>
    <row r="486" spans="1:1" x14ac:dyDescent="0.2">
      <c r="A486" s="215"/>
    </row>
    <row r="487" spans="1:1" x14ac:dyDescent="0.2">
      <c r="A487" s="215"/>
    </row>
    <row r="488" spans="1:1" x14ac:dyDescent="0.2">
      <c r="A488" s="215"/>
    </row>
    <row r="489" spans="1:1" x14ac:dyDescent="0.2">
      <c r="A489" s="215"/>
    </row>
    <row r="490" spans="1:1" x14ac:dyDescent="0.2">
      <c r="A490" s="215"/>
    </row>
    <row r="491" spans="1:1" x14ac:dyDescent="0.2">
      <c r="A491" s="215"/>
    </row>
    <row r="492" spans="1:1" x14ac:dyDescent="0.2">
      <c r="A492" s="215"/>
    </row>
    <row r="493" spans="1:1" x14ac:dyDescent="0.2">
      <c r="A493" s="215"/>
    </row>
    <row r="494" spans="1:1" x14ac:dyDescent="0.2">
      <c r="A494" s="215"/>
    </row>
    <row r="495" spans="1:1" x14ac:dyDescent="0.2">
      <c r="A495" s="215"/>
    </row>
    <row r="496" spans="1:1" x14ac:dyDescent="0.2">
      <c r="A496" s="215"/>
    </row>
    <row r="497" spans="1:1" x14ac:dyDescent="0.2">
      <c r="A497" s="215"/>
    </row>
    <row r="498" spans="1:1" x14ac:dyDescent="0.2">
      <c r="A498" s="215"/>
    </row>
    <row r="499" spans="1:1" x14ac:dyDescent="0.2">
      <c r="A499" s="215"/>
    </row>
    <row r="500" spans="1:1" x14ac:dyDescent="0.2">
      <c r="A500" s="215"/>
    </row>
    <row r="501" spans="1:1" x14ac:dyDescent="0.2">
      <c r="A501" s="215"/>
    </row>
    <row r="502" spans="1:1" x14ac:dyDescent="0.2">
      <c r="A502" s="215"/>
    </row>
    <row r="503" spans="1:1" x14ac:dyDescent="0.2">
      <c r="A503" s="215"/>
    </row>
    <row r="504" spans="1:1" x14ac:dyDescent="0.2">
      <c r="A504" s="215"/>
    </row>
    <row r="505" spans="1:1" x14ac:dyDescent="0.2">
      <c r="A505" s="215"/>
    </row>
    <row r="506" spans="1:1" x14ac:dyDescent="0.2">
      <c r="A506" s="215"/>
    </row>
    <row r="507" spans="1:1" x14ac:dyDescent="0.2">
      <c r="A507" s="215"/>
    </row>
    <row r="508" spans="1:1" x14ac:dyDescent="0.2">
      <c r="A508" s="215"/>
    </row>
    <row r="509" spans="1:1" x14ac:dyDescent="0.2">
      <c r="A509" s="215"/>
    </row>
    <row r="510" spans="1:1" x14ac:dyDescent="0.2">
      <c r="A510" s="215"/>
    </row>
    <row r="511" spans="1:1" x14ac:dyDescent="0.2">
      <c r="A511" s="215"/>
    </row>
    <row r="512" spans="1:1" x14ac:dyDescent="0.2">
      <c r="A512" s="215"/>
    </row>
    <row r="513" spans="1:1" x14ac:dyDescent="0.2">
      <c r="A513" s="215"/>
    </row>
    <row r="514" spans="1:1" x14ac:dyDescent="0.2">
      <c r="A514" s="215"/>
    </row>
    <row r="515" spans="1:1" x14ac:dyDescent="0.2">
      <c r="A515" s="215"/>
    </row>
    <row r="516" spans="1:1" x14ac:dyDescent="0.2">
      <c r="A516" s="215"/>
    </row>
    <row r="517" spans="1:1" x14ac:dyDescent="0.2">
      <c r="A517" s="215"/>
    </row>
    <row r="518" spans="1:1" x14ac:dyDescent="0.2">
      <c r="A518" s="215"/>
    </row>
    <row r="519" spans="1:1" x14ac:dyDescent="0.2">
      <c r="A519" s="215"/>
    </row>
    <row r="520" spans="1:1" x14ac:dyDescent="0.2">
      <c r="A520" s="215"/>
    </row>
    <row r="521" spans="1:1" x14ac:dyDescent="0.2">
      <c r="A521" s="215"/>
    </row>
    <row r="522" spans="1:1" x14ac:dyDescent="0.2">
      <c r="A522" s="215"/>
    </row>
    <row r="523" spans="1:1" x14ac:dyDescent="0.2">
      <c r="A523" s="215"/>
    </row>
    <row r="524" spans="1:1" x14ac:dyDescent="0.2">
      <c r="A524" s="215"/>
    </row>
    <row r="525" spans="1:1" x14ac:dyDescent="0.2">
      <c r="A525" s="215"/>
    </row>
    <row r="526" spans="1:1" x14ac:dyDescent="0.2">
      <c r="A526" s="215"/>
    </row>
    <row r="527" spans="1:1" x14ac:dyDescent="0.2">
      <c r="A527" s="215"/>
    </row>
    <row r="528" spans="1:1" x14ac:dyDescent="0.2">
      <c r="A528" s="215"/>
    </row>
    <row r="529" spans="1:1" x14ac:dyDescent="0.2">
      <c r="A529" s="215"/>
    </row>
    <row r="530" spans="1:1" x14ac:dyDescent="0.2">
      <c r="A530" s="215"/>
    </row>
    <row r="531" spans="1:1" x14ac:dyDescent="0.2">
      <c r="A531" s="215"/>
    </row>
    <row r="532" spans="1:1" x14ac:dyDescent="0.2">
      <c r="A532" s="215"/>
    </row>
    <row r="533" spans="1:1" x14ac:dyDescent="0.2">
      <c r="A533" s="215"/>
    </row>
    <row r="534" spans="1:1" x14ac:dyDescent="0.2">
      <c r="A534" s="215"/>
    </row>
    <row r="535" spans="1:1" x14ac:dyDescent="0.2">
      <c r="A535" s="215"/>
    </row>
    <row r="536" spans="1:1" x14ac:dyDescent="0.2">
      <c r="A536" s="215"/>
    </row>
    <row r="537" spans="1:1" x14ac:dyDescent="0.2">
      <c r="A537" s="215"/>
    </row>
    <row r="538" spans="1:1" x14ac:dyDescent="0.2">
      <c r="A538" s="215"/>
    </row>
    <row r="539" spans="1:1" x14ac:dyDescent="0.2">
      <c r="A539" s="215"/>
    </row>
    <row r="540" spans="1:1" x14ac:dyDescent="0.2">
      <c r="A540" s="215"/>
    </row>
    <row r="541" spans="1:1" x14ac:dyDescent="0.2">
      <c r="A541" s="215"/>
    </row>
    <row r="542" spans="1:1" x14ac:dyDescent="0.2">
      <c r="A542" s="215"/>
    </row>
    <row r="543" spans="1:1" x14ac:dyDescent="0.2">
      <c r="A543" s="215"/>
    </row>
    <row r="544" spans="1:1" x14ac:dyDescent="0.2">
      <c r="A544" s="215"/>
    </row>
    <row r="545" spans="1:1" x14ac:dyDescent="0.2">
      <c r="A545" s="215"/>
    </row>
    <row r="546" spans="1:1" x14ac:dyDescent="0.2">
      <c r="A546" s="215"/>
    </row>
    <row r="547" spans="1:1" x14ac:dyDescent="0.2">
      <c r="A547" s="215"/>
    </row>
    <row r="548" spans="1:1" x14ac:dyDescent="0.2">
      <c r="A548" s="215"/>
    </row>
    <row r="549" spans="1:1" x14ac:dyDescent="0.2">
      <c r="A549" s="215"/>
    </row>
    <row r="550" spans="1:1" x14ac:dyDescent="0.2">
      <c r="A550" s="215"/>
    </row>
    <row r="551" spans="1:1" x14ac:dyDescent="0.2">
      <c r="A551" s="215"/>
    </row>
    <row r="552" spans="1:1" x14ac:dyDescent="0.2">
      <c r="A552" s="215"/>
    </row>
    <row r="553" spans="1:1" x14ac:dyDescent="0.2">
      <c r="A553" s="215"/>
    </row>
    <row r="554" spans="1:1" x14ac:dyDescent="0.2">
      <c r="A554" s="215"/>
    </row>
    <row r="555" spans="1:1" x14ac:dyDescent="0.2">
      <c r="A555" s="215"/>
    </row>
    <row r="556" spans="1:1" x14ac:dyDescent="0.2">
      <c r="A556" s="215"/>
    </row>
    <row r="557" spans="1:1" x14ac:dyDescent="0.2">
      <c r="A557" s="215"/>
    </row>
    <row r="558" spans="1:1" x14ac:dyDescent="0.2">
      <c r="A558" s="215"/>
    </row>
    <row r="559" spans="1:1" x14ac:dyDescent="0.2">
      <c r="A559" s="215"/>
    </row>
    <row r="560" spans="1:1" x14ac:dyDescent="0.2">
      <c r="A560" s="215"/>
    </row>
    <row r="561" spans="1:1" x14ac:dyDescent="0.2">
      <c r="A561" s="215"/>
    </row>
    <row r="562" spans="1:1" x14ac:dyDescent="0.2">
      <c r="A562" s="215"/>
    </row>
    <row r="563" spans="1:1" x14ac:dyDescent="0.2">
      <c r="A563" s="215"/>
    </row>
    <row r="564" spans="1:1" x14ac:dyDescent="0.2">
      <c r="A564" s="215"/>
    </row>
    <row r="565" spans="1:1" x14ac:dyDescent="0.2">
      <c r="A565" s="215"/>
    </row>
    <row r="566" spans="1:1" x14ac:dyDescent="0.2">
      <c r="A566" s="215"/>
    </row>
    <row r="567" spans="1:1" x14ac:dyDescent="0.2">
      <c r="A567" s="215"/>
    </row>
    <row r="568" spans="1:1" x14ac:dyDescent="0.2">
      <c r="A568" s="215"/>
    </row>
    <row r="569" spans="1:1" x14ac:dyDescent="0.2">
      <c r="A569" s="215"/>
    </row>
    <row r="570" spans="1:1" x14ac:dyDescent="0.2">
      <c r="A570" s="215"/>
    </row>
    <row r="571" spans="1:1" x14ac:dyDescent="0.2">
      <c r="A571" s="215"/>
    </row>
    <row r="572" spans="1:1" x14ac:dyDescent="0.2">
      <c r="A572" s="215"/>
    </row>
    <row r="573" spans="1:1" x14ac:dyDescent="0.2">
      <c r="A573" s="215"/>
    </row>
    <row r="574" spans="1:1" x14ac:dyDescent="0.2">
      <c r="A574" s="215"/>
    </row>
    <row r="575" spans="1:1" x14ac:dyDescent="0.2">
      <c r="A575" s="215"/>
    </row>
    <row r="576" spans="1:1" x14ac:dyDescent="0.2">
      <c r="A576" s="215"/>
    </row>
    <row r="577" spans="1:1" x14ac:dyDescent="0.2">
      <c r="A577" s="215"/>
    </row>
    <row r="578" spans="1:1" x14ac:dyDescent="0.2">
      <c r="A578" s="215"/>
    </row>
    <row r="579" spans="1:1" x14ac:dyDescent="0.2">
      <c r="A579" s="215"/>
    </row>
    <row r="580" spans="1:1" x14ac:dyDescent="0.2">
      <c r="A580" s="215"/>
    </row>
    <row r="581" spans="1:1" x14ac:dyDescent="0.2">
      <c r="A581" s="215"/>
    </row>
    <row r="582" spans="1:1" x14ac:dyDescent="0.2">
      <c r="A582" s="215"/>
    </row>
    <row r="583" spans="1:1" x14ac:dyDescent="0.2">
      <c r="A583" s="215"/>
    </row>
    <row r="584" spans="1:1" x14ac:dyDescent="0.2">
      <c r="A584" s="215"/>
    </row>
    <row r="585" spans="1:1" x14ac:dyDescent="0.2">
      <c r="A585" s="215"/>
    </row>
    <row r="586" spans="1:1" x14ac:dyDescent="0.2">
      <c r="A586" s="215"/>
    </row>
    <row r="587" spans="1:1" x14ac:dyDescent="0.2">
      <c r="A587" s="215"/>
    </row>
    <row r="588" spans="1:1" x14ac:dyDescent="0.2">
      <c r="A588" s="215"/>
    </row>
    <row r="589" spans="1:1" x14ac:dyDescent="0.2">
      <c r="A589" s="215"/>
    </row>
    <row r="590" spans="1:1" x14ac:dyDescent="0.2">
      <c r="A590" s="215"/>
    </row>
    <row r="591" spans="1:1" x14ac:dyDescent="0.2">
      <c r="A591" s="215"/>
    </row>
    <row r="592" spans="1:1" x14ac:dyDescent="0.2">
      <c r="A592" s="215"/>
    </row>
    <row r="593" spans="1:1" x14ac:dyDescent="0.2">
      <c r="A593" s="215"/>
    </row>
    <row r="594" spans="1:1" x14ac:dyDescent="0.2">
      <c r="A594" s="215"/>
    </row>
    <row r="595" spans="1:1" x14ac:dyDescent="0.2">
      <c r="A595" s="215"/>
    </row>
    <row r="596" spans="1:1" x14ac:dyDescent="0.2">
      <c r="A596" s="215"/>
    </row>
    <row r="597" spans="1:1" x14ac:dyDescent="0.2">
      <c r="A597" s="215"/>
    </row>
    <row r="598" spans="1:1" x14ac:dyDescent="0.2">
      <c r="A598" s="215"/>
    </row>
    <row r="599" spans="1:1" x14ac:dyDescent="0.2">
      <c r="A599" s="215"/>
    </row>
    <row r="600" spans="1:1" x14ac:dyDescent="0.2">
      <c r="A600" s="215"/>
    </row>
    <row r="601" spans="1:1" x14ac:dyDescent="0.2">
      <c r="A601" s="215"/>
    </row>
    <row r="602" spans="1:1" x14ac:dyDescent="0.2">
      <c r="A602" s="215"/>
    </row>
    <row r="603" spans="1:1" x14ac:dyDescent="0.2">
      <c r="A603" s="215"/>
    </row>
    <row r="604" spans="1:1" x14ac:dyDescent="0.2">
      <c r="A604" s="215"/>
    </row>
    <row r="605" spans="1:1" x14ac:dyDescent="0.2">
      <c r="A605" s="215"/>
    </row>
    <row r="606" spans="1:1" x14ac:dyDescent="0.2">
      <c r="A606" s="215"/>
    </row>
    <row r="607" spans="1:1" x14ac:dyDescent="0.2">
      <c r="A607" s="215"/>
    </row>
    <row r="608" spans="1:1" x14ac:dyDescent="0.2">
      <c r="A608" s="215"/>
    </row>
    <row r="609" spans="1:1" x14ac:dyDescent="0.2">
      <c r="A609" s="215"/>
    </row>
    <row r="610" spans="1:1" x14ac:dyDescent="0.2">
      <c r="A610" s="215"/>
    </row>
    <row r="611" spans="1:1" x14ac:dyDescent="0.2">
      <c r="A611" s="215"/>
    </row>
    <row r="612" spans="1:1" x14ac:dyDescent="0.2">
      <c r="A612" s="215"/>
    </row>
    <row r="613" spans="1:1" x14ac:dyDescent="0.2">
      <c r="A613" s="215"/>
    </row>
    <row r="614" spans="1:1" x14ac:dyDescent="0.2">
      <c r="A614" s="215"/>
    </row>
    <row r="615" spans="1:1" x14ac:dyDescent="0.2">
      <c r="A615" s="215"/>
    </row>
    <row r="616" spans="1:1" x14ac:dyDescent="0.2">
      <c r="A616" s="215"/>
    </row>
    <row r="617" spans="1:1" x14ac:dyDescent="0.2">
      <c r="A617" s="215"/>
    </row>
    <row r="618" spans="1:1" x14ac:dyDescent="0.2">
      <c r="A618" s="215"/>
    </row>
    <row r="619" spans="1:1" x14ac:dyDescent="0.2">
      <c r="A619" s="215"/>
    </row>
    <row r="620" spans="1:1" x14ac:dyDescent="0.2">
      <c r="A620" s="215"/>
    </row>
    <row r="621" spans="1:1" x14ac:dyDescent="0.2">
      <c r="A621" s="215"/>
    </row>
    <row r="622" spans="1:1" x14ac:dyDescent="0.2">
      <c r="A622" s="215"/>
    </row>
    <row r="623" spans="1:1" x14ac:dyDescent="0.2">
      <c r="A623" s="215"/>
    </row>
    <row r="624" spans="1:1" x14ac:dyDescent="0.2">
      <c r="A624" s="215"/>
    </row>
    <row r="625" spans="1:1" x14ac:dyDescent="0.2">
      <c r="A625" s="215"/>
    </row>
    <row r="626" spans="1:1" x14ac:dyDescent="0.2">
      <c r="A626" s="215"/>
    </row>
    <row r="627" spans="1:1" x14ac:dyDescent="0.2">
      <c r="A627" s="215"/>
    </row>
    <row r="628" spans="1:1" x14ac:dyDescent="0.2">
      <c r="A628" s="215"/>
    </row>
    <row r="629" spans="1:1" x14ac:dyDescent="0.2">
      <c r="A629" s="215"/>
    </row>
    <row r="630" spans="1:1" x14ac:dyDescent="0.2">
      <c r="A630" s="215"/>
    </row>
    <row r="631" spans="1:1" x14ac:dyDescent="0.2">
      <c r="A631" s="215"/>
    </row>
    <row r="632" spans="1:1" x14ac:dyDescent="0.2">
      <c r="A632" s="215"/>
    </row>
    <row r="633" spans="1:1" x14ac:dyDescent="0.2">
      <c r="A633" s="215"/>
    </row>
    <row r="634" spans="1:1" x14ac:dyDescent="0.2">
      <c r="A634" s="215"/>
    </row>
    <row r="635" spans="1:1" x14ac:dyDescent="0.2">
      <c r="A635" s="215"/>
    </row>
    <row r="636" spans="1:1" x14ac:dyDescent="0.2">
      <c r="A636" s="215"/>
    </row>
    <row r="637" spans="1:1" x14ac:dyDescent="0.2">
      <c r="A637" s="215"/>
    </row>
    <row r="638" spans="1:1" x14ac:dyDescent="0.2">
      <c r="A638" s="215"/>
    </row>
    <row r="639" spans="1:1" x14ac:dyDescent="0.2">
      <c r="A639" s="215"/>
    </row>
    <row r="640" spans="1:1" x14ac:dyDescent="0.2">
      <c r="A640" s="215"/>
    </row>
    <row r="641" spans="1:1" x14ac:dyDescent="0.2">
      <c r="A641" s="215"/>
    </row>
    <row r="642" spans="1:1" x14ac:dyDescent="0.2">
      <c r="A642" s="215"/>
    </row>
    <row r="643" spans="1:1" x14ac:dyDescent="0.2">
      <c r="A643" s="215"/>
    </row>
    <row r="644" spans="1:1" x14ac:dyDescent="0.2">
      <c r="A644" s="215"/>
    </row>
    <row r="645" spans="1:1" x14ac:dyDescent="0.2">
      <c r="A645" s="215"/>
    </row>
    <row r="646" spans="1:1" x14ac:dyDescent="0.2">
      <c r="A646" s="215"/>
    </row>
    <row r="647" spans="1:1" x14ac:dyDescent="0.2">
      <c r="A647" s="215"/>
    </row>
    <row r="648" spans="1:1" x14ac:dyDescent="0.2">
      <c r="A648" s="215"/>
    </row>
    <row r="649" spans="1:1" x14ac:dyDescent="0.2">
      <c r="A649" s="215"/>
    </row>
    <row r="650" spans="1:1" x14ac:dyDescent="0.2">
      <c r="A650" s="215"/>
    </row>
    <row r="651" spans="1:1" x14ac:dyDescent="0.2">
      <c r="A651" s="215"/>
    </row>
    <row r="652" spans="1:1" x14ac:dyDescent="0.2">
      <c r="A652" s="215"/>
    </row>
    <row r="653" spans="1:1" x14ac:dyDescent="0.2">
      <c r="A653" s="215"/>
    </row>
    <row r="654" spans="1:1" x14ac:dyDescent="0.2">
      <c r="A654" s="215"/>
    </row>
    <row r="655" spans="1:1" x14ac:dyDescent="0.2">
      <c r="A655" s="215"/>
    </row>
    <row r="656" spans="1:1" x14ac:dyDescent="0.2">
      <c r="A656" s="215"/>
    </row>
    <row r="657" spans="1:1" x14ac:dyDescent="0.2">
      <c r="A657" s="215"/>
    </row>
    <row r="658" spans="1:1" x14ac:dyDescent="0.2">
      <c r="A658" s="215"/>
    </row>
    <row r="659" spans="1:1" x14ac:dyDescent="0.2">
      <c r="A659" s="215"/>
    </row>
    <row r="660" spans="1:1" x14ac:dyDescent="0.2">
      <c r="A660" s="215"/>
    </row>
    <row r="661" spans="1:1" x14ac:dyDescent="0.2">
      <c r="A661" s="215"/>
    </row>
    <row r="662" spans="1:1" x14ac:dyDescent="0.2">
      <c r="A662" s="215"/>
    </row>
    <row r="663" spans="1:1" x14ac:dyDescent="0.2">
      <c r="A663" s="215"/>
    </row>
    <row r="664" spans="1:1" x14ac:dyDescent="0.2">
      <c r="A664" s="215"/>
    </row>
    <row r="665" spans="1:1" x14ac:dyDescent="0.2">
      <c r="A665" s="215"/>
    </row>
    <row r="666" spans="1:1" x14ac:dyDescent="0.2">
      <c r="A666" s="215"/>
    </row>
    <row r="667" spans="1:1" x14ac:dyDescent="0.2">
      <c r="A667" s="215"/>
    </row>
    <row r="668" spans="1:1" x14ac:dyDescent="0.2">
      <c r="A668" s="215"/>
    </row>
    <row r="669" spans="1:1" x14ac:dyDescent="0.2">
      <c r="A669" s="215"/>
    </row>
    <row r="670" spans="1:1" x14ac:dyDescent="0.2">
      <c r="A670" s="215"/>
    </row>
    <row r="671" spans="1:1" x14ac:dyDescent="0.2">
      <c r="A671" s="215"/>
    </row>
    <row r="672" spans="1:1" x14ac:dyDescent="0.2">
      <c r="A672" s="215"/>
    </row>
    <row r="673" spans="1:1" x14ac:dyDescent="0.2">
      <c r="A673" s="215"/>
    </row>
    <row r="674" spans="1:1" x14ac:dyDescent="0.2">
      <c r="A674" s="215"/>
    </row>
    <row r="675" spans="1:1" x14ac:dyDescent="0.2">
      <c r="A675" s="215"/>
    </row>
    <row r="676" spans="1:1" x14ac:dyDescent="0.2">
      <c r="A676" s="215"/>
    </row>
    <row r="677" spans="1:1" x14ac:dyDescent="0.2">
      <c r="A677" s="215"/>
    </row>
    <row r="678" spans="1:1" x14ac:dyDescent="0.2">
      <c r="A678" s="215"/>
    </row>
    <row r="679" spans="1:1" x14ac:dyDescent="0.2">
      <c r="A679" s="215"/>
    </row>
    <row r="680" spans="1:1" x14ac:dyDescent="0.2">
      <c r="A680" s="215"/>
    </row>
    <row r="681" spans="1:1" x14ac:dyDescent="0.2">
      <c r="A681" s="215"/>
    </row>
    <row r="682" spans="1:1" x14ac:dyDescent="0.2">
      <c r="A682" s="215"/>
    </row>
    <row r="683" spans="1:1" x14ac:dyDescent="0.2">
      <c r="A683" s="215"/>
    </row>
    <row r="684" spans="1:1" x14ac:dyDescent="0.2">
      <c r="A684" s="215"/>
    </row>
    <row r="685" spans="1:1" x14ac:dyDescent="0.2">
      <c r="A685" s="215"/>
    </row>
    <row r="686" spans="1:1" x14ac:dyDescent="0.2">
      <c r="A686" s="215"/>
    </row>
    <row r="687" spans="1:1" x14ac:dyDescent="0.2">
      <c r="A687" s="215"/>
    </row>
    <row r="688" spans="1:1" x14ac:dyDescent="0.2">
      <c r="A688" s="215"/>
    </row>
    <row r="689" spans="1:1" x14ac:dyDescent="0.2">
      <c r="A689" s="215"/>
    </row>
    <row r="690" spans="1:1" x14ac:dyDescent="0.2">
      <c r="A690" s="215"/>
    </row>
    <row r="691" spans="1:1" x14ac:dyDescent="0.2">
      <c r="A691" s="215"/>
    </row>
    <row r="692" spans="1:1" x14ac:dyDescent="0.2">
      <c r="A692" s="215"/>
    </row>
    <row r="693" spans="1:1" x14ac:dyDescent="0.2">
      <c r="A693" s="215"/>
    </row>
    <row r="694" spans="1:1" x14ac:dyDescent="0.2">
      <c r="A694" s="215"/>
    </row>
    <row r="695" spans="1:1" x14ac:dyDescent="0.2">
      <c r="A695" s="215"/>
    </row>
    <row r="696" spans="1:1" x14ac:dyDescent="0.2">
      <c r="A696" s="215"/>
    </row>
    <row r="697" spans="1:1" x14ac:dyDescent="0.2">
      <c r="A697" s="215"/>
    </row>
    <row r="698" spans="1:1" x14ac:dyDescent="0.2">
      <c r="A698" s="215"/>
    </row>
  </sheetData>
  <mergeCells count="21">
    <mergeCell ref="Q6:Q7"/>
    <mergeCell ref="R6:R7"/>
    <mergeCell ref="S6:S7"/>
    <mergeCell ref="T6:T7"/>
    <mergeCell ref="M6:M7"/>
    <mergeCell ref="N6:N7"/>
    <mergeCell ref="O6:O7"/>
    <mergeCell ref="P6:P7"/>
    <mergeCell ref="A1:D1"/>
    <mergeCell ref="A2:H2"/>
    <mergeCell ref="A38:H38"/>
    <mergeCell ref="L6:L7"/>
    <mergeCell ref="B6:D7"/>
    <mergeCell ref="I6:I7"/>
    <mergeCell ref="J6:J7"/>
    <mergeCell ref="K6:K7"/>
    <mergeCell ref="E6:E7"/>
    <mergeCell ref="F6:F7"/>
    <mergeCell ref="H6:H7"/>
    <mergeCell ref="A4:H4"/>
    <mergeCell ref="G6:G7"/>
  </mergeCells>
  <phoneticPr fontId="0" type="noConversion"/>
  <printOptions horizontalCentered="1"/>
  <pageMargins left="0.27" right="0.16" top="0.17" bottom="0.26" header="0.28999999999999998" footer="0.17"/>
  <pageSetup scale="67" orientation="landscape" r:id="rId1"/>
  <headerFooter alignWithMargins="0"/>
  <rowBreaks count="14" manualBreakCount="14">
    <brk id="40" max="16383" man="1"/>
    <brk id="73" max="16383" man="1"/>
    <brk id="100" max="16383" man="1"/>
    <brk id="127" max="16383" man="1"/>
    <brk id="154" max="16383" man="1"/>
    <brk id="188" max="16383" man="1"/>
    <brk id="203" max="16383" man="1"/>
    <brk id="228" max="16383" man="1"/>
    <brk id="253" max="16383" man="1"/>
    <brk id="285" max="16383" man="1"/>
    <brk id="307" max="16383" man="1"/>
    <brk id="326" max="16383" man="1"/>
    <brk id="349" max="16383" man="1"/>
    <brk id="378"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L408"/>
  <sheetViews>
    <sheetView topLeftCell="A85" zoomScale="80" zoomScaleNormal="80" zoomScalePageLayoutView="80" workbookViewId="0">
      <selection activeCell="C97" sqref="C97"/>
    </sheetView>
  </sheetViews>
  <sheetFormatPr defaultColWidth="8.85546875" defaultRowHeight="14.25" x14ac:dyDescent="0.2"/>
  <cols>
    <col min="1" max="1" width="4.140625" style="32" customWidth="1"/>
    <col min="2" max="2" width="5.42578125" style="13" customWidth="1"/>
    <col min="3" max="3" width="4.42578125" style="13" customWidth="1"/>
    <col min="4" max="4" width="48.7109375" style="2" customWidth="1"/>
    <col min="5" max="5" width="8.7109375" style="3" customWidth="1"/>
    <col min="6" max="6" width="12.7109375" style="3" customWidth="1"/>
    <col min="7" max="9" width="15.140625" style="2" bestFit="1" customWidth="1"/>
    <col min="10" max="10" width="16.140625" style="2" bestFit="1" customWidth="1"/>
    <col min="11" max="11" width="15.140625" style="2" bestFit="1" customWidth="1"/>
    <col min="12" max="12" width="85.85546875" style="502" customWidth="1"/>
    <col min="13" max="16384" width="8.85546875" style="2"/>
  </cols>
  <sheetData>
    <row r="1" spans="1:12" ht="33.75" customHeight="1" x14ac:dyDescent="0.25">
      <c r="A1" s="605" t="s">
        <v>563</v>
      </c>
      <c r="B1" s="605"/>
      <c r="C1" s="605"/>
      <c r="D1" s="605"/>
      <c r="E1" s="5"/>
      <c r="F1" s="5"/>
      <c r="G1" s="5"/>
      <c r="H1" s="5"/>
      <c r="I1" s="5"/>
      <c r="J1" s="5"/>
      <c r="K1" s="5"/>
      <c r="L1" s="452"/>
    </row>
    <row r="2" spans="1:12" ht="18" customHeight="1" x14ac:dyDescent="0.25">
      <c r="A2" s="8" t="s">
        <v>382</v>
      </c>
      <c r="B2" s="21"/>
      <c r="C2" s="21"/>
      <c r="D2" s="5"/>
      <c r="E2" s="5"/>
      <c r="F2" s="5"/>
      <c r="G2" s="5"/>
      <c r="H2" s="5"/>
      <c r="I2" s="5"/>
      <c r="J2" s="5"/>
      <c r="K2" s="5"/>
      <c r="L2" s="560"/>
    </row>
    <row r="3" spans="1:12" ht="18" customHeight="1" x14ac:dyDescent="0.25">
      <c r="A3" s="8"/>
      <c r="B3" s="21"/>
      <c r="C3" s="21"/>
      <c r="D3" s="5"/>
      <c r="E3" s="5"/>
      <c r="F3" s="5"/>
      <c r="G3" s="5"/>
      <c r="H3" s="5"/>
      <c r="I3" s="5"/>
      <c r="J3" s="5"/>
      <c r="K3" s="5"/>
      <c r="L3" s="560"/>
    </row>
    <row r="4" spans="1:12" ht="33" customHeight="1" x14ac:dyDescent="0.25">
      <c r="A4" s="622" t="s">
        <v>383</v>
      </c>
      <c r="B4" s="622"/>
      <c r="C4" s="622"/>
      <c r="D4" s="622"/>
      <c r="E4" s="622"/>
      <c r="F4" s="622"/>
      <c r="G4" s="622"/>
      <c r="H4" s="622"/>
      <c r="I4" s="622"/>
      <c r="J4" s="622"/>
      <c r="K4" s="622"/>
      <c r="L4" s="622"/>
    </row>
    <row r="5" spans="1:12" ht="18.75" customHeight="1" thickBot="1" x14ac:dyDescent="0.3">
      <c r="A5" s="27"/>
      <c r="B5" s="21"/>
      <c r="C5" s="21"/>
      <c r="D5" s="5"/>
      <c r="E5" s="5"/>
      <c r="F5" s="5"/>
      <c r="G5" s="5"/>
      <c r="H5" s="5"/>
      <c r="I5" s="5"/>
      <c r="J5" s="5"/>
      <c r="K5" s="5"/>
      <c r="L5" s="452"/>
    </row>
    <row r="6" spans="1:12" s="1" customFormat="1" ht="15.75" customHeight="1" thickTop="1" x14ac:dyDescent="0.25">
      <c r="A6" s="28"/>
      <c r="B6" s="597" t="s">
        <v>31</v>
      </c>
      <c r="C6" s="598"/>
      <c r="D6" s="598"/>
      <c r="E6" s="600" t="s">
        <v>77</v>
      </c>
      <c r="F6" s="602" t="s">
        <v>78</v>
      </c>
      <c r="G6" s="623" t="s">
        <v>384</v>
      </c>
      <c r="H6" s="623" t="s">
        <v>385</v>
      </c>
      <c r="I6" s="623" t="s">
        <v>386</v>
      </c>
      <c r="J6" s="623" t="s">
        <v>387</v>
      </c>
      <c r="K6" s="623" t="s">
        <v>388</v>
      </c>
      <c r="L6" s="614" t="s">
        <v>33</v>
      </c>
    </row>
    <row r="7" spans="1:12" s="40" customFormat="1" ht="15.75" thickBot="1" x14ac:dyDescent="0.3">
      <c r="A7" s="37"/>
      <c r="B7" s="610"/>
      <c r="C7" s="610"/>
      <c r="D7" s="610"/>
      <c r="E7" s="611"/>
      <c r="F7" s="626"/>
      <c r="G7" s="624" t="s">
        <v>385</v>
      </c>
      <c r="H7" s="624" t="s">
        <v>385</v>
      </c>
      <c r="I7" s="624" t="s">
        <v>386</v>
      </c>
      <c r="J7" s="627" t="s">
        <v>387</v>
      </c>
      <c r="K7" s="627" t="s">
        <v>388</v>
      </c>
      <c r="L7" s="621"/>
    </row>
    <row r="8" spans="1:12" s="39" customFormat="1" ht="20.25" customHeight="1" thickTop="1" x14ac:dyDescent="0.25">
      <c r="A8" s="38"/>
      <c r="B8" s="41" t="s">
        <v>79</v>
      </c>
      <c r="E8" s="69"/>
      <c r="F8" s="70"/>
      <c r="G8" s="381"/>
      <c r="H8" s="382"/>
      <c r="I8" s="382"/>
      <c r="J8" s="382"/>
      <c r="K8" s="383"/>
      <c r="L8" s="453"/>
    </row>
    <row r="9" spans="1:12" ht="3" customHeight="1" x14ac:dyDescent="0.2">
      <c r="A9" s="29"/>
      <c r="B9" s="35"/>
      <c r="C9" s="12"/>
      <c r="D9" s="12"/>
      <c r="E9" s="71"/>
      <c r="F9" s="72"/>
      <c r="G9" s="384"/>
      <c r="H9" s="385"/>
      <c r="I9" s="385"/>
      <c r="J9" s="385"/>
      <c r="K9" s="386"/>
      <c r="L9" s="454"/>
    </row>
    <row r="10" spans="1:12" x14ac:dyDescent="0.2">
      <c r="A10" s="30"/>
      <c r="B10" s="25" t="s">
        <v>80</v>
      </c>
      <c r="C10" s="11"/>
      <c r="D10" s="11"/>
      <c r="E10" s="61"/>
      <c r="F10" s="62"/>
      <c r="G10" s="387"/>
      <c r="H10" s="388"/>
      <c r="I10" s="388"/>
      <c r="J10" s="388"/>
      <c r="K10" s="389"/>
      <c r="L10" s="455"/>
    </row>
    <row r="11" spans="1:12" x14ac:dyDescent="0.2">
      <c r="A11" s="205">
        <v>1</v>
      </c>
      <c r="B11" s="36"/>
      <c r="C11" s="9" t="s">
        <v>81</v>
      </c>
      <c r="D11" s="9"/>
      <c r="E11" s="18"/>
      <c r="F11" s="19" t="s">
        <v>82</v>
      </c>
      <c r="G11" s="390">
        <f>'Yr 1 Operating Statement of Act'!G11</f>
        <v>2161895</v>
      </c>
      <c r="H11" s="449">
        <f>+'MFP Assumptions'!D53</f>
        <v>2291206</v>
      </c>
      <c r="I11" s="449">
        <f>+'MFP Assumptions'!D83</f>
        <v>2420517</v>
      </c>
      <c r="J11" s="449">
        <f>+'MFP Assumptions'!D113</f>
        <v>2549828</v>
      </c>
      <c r="K11" s="450">
        <f>+'MFP Assumptions'!D143</f>
        <v>2679139</v>
      </c>
      <c r="L11" s="456" t="s">
        <v>389</v>
      </c>
    </row>
    <row r="12" spans="1:12" x14ac:dyDescent="0.2">
      <c r="A12" s="205">
        <v>2</v>
      </c>
      <c r="B12" s="36"/>
      <c r="C12" s="9" t="s">
        <v>84</v>
      </c>
      <c r="D12" s="9"/>
      <c r="E12" s="18"/>
      <c r="F12" s="19" t="s">
        <v>85</v>
      </c>
      <c r="G12" s="390">
        <f>'Yr 1 Operating Statement of Act'!G12</f>
        <v>0</v>
      </c>
      <c r="H12" s="391"/>
      <c r="I12" s="391"/>
      <c r="J12" s="391"/>
      <c r="K12" s="392"/>
      <c r="L12" s="456"/>
    </row>
    <row r="13" spans="1:12" x14ac:dyDescent="0.2">
      <c r="A13" s="205">
        <v>3</v>
      </c>
      <c r="B13" s="36"/>
      <c r="C13" s="9" t="s">
        <v>86</v>
      </c>
      <c r="D13" s="9"/>
      <c r="E13" s="18"/>
      <c r="F13" s="19" t="s">
        <v>87</v>
      </c>
      <c r="G13" s="390">
        <f>'Yr 1 Operating Statement of Act'!G13</f>
        <v>0</v>
      </c>
      <c r="H13" s="391"/>
      <c r="I13" s="391"/>
      <c r="J13" s="391"/>
      <c r="K13" s="392"/>
      <c r="L13" s="456"/>
    </row>
    <row r="14" spans="1:12" x14ac:dyDescent="0.2">
      <c r="A14" s="205">
        <v>4</v>
      </c>
      <c r="B14" s="36"/>
      <c r="C14" s="9" t="s">
        <v>88</v>
      </c>
      <c r="D14" s="9"/>
      <c r="E14" s="18"/>
      <c r="F14" s="19">
        <v>1800</v>
      </c>
      <c r="G14" s="390">
        <f>'Yr 1 Operating Statement of Act'!G14</f>
        <v>0</v>
      </c>
      <c r="H14" s="391"/>
      <c r="I14" s="391"/>
      <c r="J14" s="391"/>
      <c r="K14" s="392"/>
      <c r="L14" s="456"/>
    </row>
    <row r="15" spans="1:12" x14ac:dyDescent="0.2">
      <c r="A15" s="205"/>
      <c r="B15" s="36"/>
      <c r="C15" s="9" t="s">
        <v>89</v>
      </c>
      <c r="D15" s="9"/>
      <c r="E15" s="61"/>
      <c r="F15" s="62"/>
      <c r="G15" s="387"/>
      <c r="H15" s="388"/>
      <c r="I15" s="388"/>
      <c r="J15" s="388"/>
      <c r="K15" s="389"/>
      <c r="L15" s="457"/>
    </row>
    <row r="16" spans="1:12" x14ac:dyDescent="0.2">
      <c r="A16" s="205">
        <v>5</v>
      </c>
      <c r="B16" s="36"/>
      <c r="C16" s="9"/>
      <c r="D16" s="9" t="s">
        <v>90</v>
      </c>
      <c r="E16" s="18"/>
      <c r="F16" s="19" t="s">
        <v>91</v>
      </c>
      <c r="G16" s="390">
        <f>'Yr 1 Operating Statement of Act'!G16</f>
        <v>250000</v>
      </c>
      <c r="H16" s="391">
        <v>200000</v>
      </c>
      <c r="I16" s="391"/>
      <c r="J16" s="391"/>
      <c r="K16" s="392"/>
      <c r="L16" s="456" t="s">
        <v>390</v>
      </c>
    </row>
    <row r="17" spans="1:12" x14ac:dyDescent="0.2">
      <c r="A17" s="205">
        <v>6</v>
      </c>
      <c r="B17" s="36"/>
      <c r="C17" s="9"/>
      <c r="D17" s="9" t="s">
        <v>93</v>
      </c>
      <c r="E17" s="18"/>
      <c r="F17" s="19" t="s">
        <v>94</v>
      </c>
      <c r="G17" s="390">
        <f>'Yr 1 Operating Statement of Act'!G17</f>
        <v>0</v>
      </c>
      <c r="H17" s="391"/>
      <c r="I17" s="391"/>
      <c r="J17" s="391"/>
      <c r="K17" s="392"/>
      <c r="L17" s="456"/>
    </row>
    <row r="18" spans="1:12" x14ac:dyDescent="0.2">
      <c r="A18" s="205">
        <v>7</v>
      </c>
      <c r="B18" s="42"/>
      <c r="C18" s="43"/>
      <c r="D18" s="43" t="s">
        <v>95</v>
      </c>
      <c r="E18" s="22"/>
      <c r="F18" s="23" t="s">
        <v>96</v>
      </c>
      <c r="G18" s="393">
        <f>'Yr 1 Operating Statement of Act'!G18</f>
        <v>59535.70758928571</v>
      </c>
      <c r="H18" s="394">
        <f>+'Rev &amp; Exp Assumptions'!E9+'Rev &amp; Exp Assumptions'!E10+'Rev &amp; Exp Assumptions'!E11</f>
        <v>63037.808035714283</v>
      </c>
      <c r="I18" s="394">
        <f>+'Rev &amp; Exp Assumptions'!F9+'Rev &amp; Exp Assumptions'!F10+'Rev &amp; Exp Assumptions'!F11</f>
        <v>66539.908482142855</v>
      </c>
      <c r="J18" s="394">
        <f>+'Rev &amp; Exp Assumptions'!G9+'Rev &amp; Exp Assumptions'!G10+'Rev &amp; Exp Assumptions'!G11</f>
        <v>70042.00892857142</v>
      </c>
      <c r="K18" s="394">
        <f>+'Rev &amp; Exp Assumptions'!H9+'Rev &amp; Exp Assumptions'!H10+'Rev &amp; Exp Assumptions'!H11</f>
        <v>73544.109375</v>
      </c>
      <c r="L18" s="456" t="s">
        <v>391</v>
      </c>
    </row>
    <row r="19" spans="1:12" s="94" customFormat="1" ht="12.75" x14ac:dyDescent="0.2">
      <c r="A19" s="205">
        <v>8</v>
      </c>
      <c r="B19" s="91"/>
      <c r="C19" s="82" t="s">
        <v>98</v>
      </c>
      <c r="D19" s="82"/>
      <c r="E19" s="92"/>
      <c r="F19" s="93"/>
      <c r="G19" s="137">
        <f>'Yr 1 Operating Statement of Act'!G19</f>
        <v>0</v>
      </c>
      <c r="H19" s="138"/>
      <c r="I19" s="138"/>
      <c r="J19" s="138"/>
      <c r="K19" s="139"/>
      <c r="L19" s="458"/>
    </row>
    <row r="20" spans="1:12" x14ac:dyDescent="0.2">
      <c r="A20" s="205">
        <v>9</v>
      </c>
      <c r="B20" s="42"/>
      <c r="C20" s="43"/>
      <c r="D20" s="43"/>
      <c r="E20" s="22"/>
      <c r="F20" s="23"/>
      <c r="G20" s="393" t="s">
        <v>157</v>
      </c>
      <c r="H20" s="394"/>
      <c r="I20" s="394"/>
      <c r="J20" s="394"/>
      <c r="K20" s="395"/>
      <c r="L20" s="459"/>
    </row>
    <row r="21" spans="1:12" x14ac:dyDescent="0.2">
      <c r="A21" s="210">
        <v>10</v>
      </c>
      <c r="B21" s="47" t="s">
        <v>99</v>
      </c>
      <c r="C21" s="6"/>
      <c r="D21" s="48"/>
      <c r="E21" s="49"/>
      <c r="F21" s="50"/>
      <c r="G21" s="396">
        <f>SUM(G11:G20)</f>
        <v>2471430.7075892859</v>
      </c>
      <c r="H21" s="396">
        <f>SUM(H11:H20)</f>
        <v>2554243.8080357141</v>
      </c>
      <c r="I21" s="396">
        <f>SUM(I11:I20)</f>
        <v>2487056.9084821427</v>
      </c>
      <c r="J21" s="396">
        <f>SUM(J11:J20)</f>
        <v>2619870.0089285714</v>
      </c>
      <c r="K21" s="397">
        <f>SUM(K11:K20)</f>
        <v>2752683.109375</v>
      </c>
      <c r="L21" s="460"/>
    </row>
    <row r="22" spans="1:12" x14ac:dyDescent="0.2">
      <c r="A22" s="213"/>
      <c r="B22" s="35"/>
      <c r="C22" s="12"/>
      <c r="D22" s="12"/>
      <c r="E22" s="71"/>
      <c r="F22" s="72"/>
      <c r="G22" s="384"/>
      <c r="H22" s="385"/>
      <c r="I22" s="385"/>
      <c r="J22" s="385"/>
      <c r="K22" s="386"/>
      <c r="L22" s="461"/>
    </row>
    <row r="23" spans="1:12" x14ac:dyDescent="0.2">
      <c r="A23" s="206"/>
      <c r="B23" s="25" t="s">
        <v>100</v>
      </c>
      <c r="C23" s="11"/>
      <c r="D23" s="11"/>
      <c r="E23" s="61"/>
      <c r="F23" s="62"/>
      <c r="G23" s="387"/>
      <c r="H23" s="388"/>
      <c r="I23" s="388"/>
      <c r="J23" s="388"/>
      <c r="K23" s="389"/>
      <c r="L23" s="457"/>
    </row>
    <row r="24" spans="1:12" x14ac:dyDescent="0.2">
      <c r="A24" s="205"/>
      <c r="B24" s="36"/>
      <c r="C24" s="9" t="s">
        <v>101</v>
      </c>
      <c r="D24" s="9"/>
      <c r="E24" s="61"/>
      <c r="F24" s="62"/>
      <c r="G24" s="387"/>
      <c r="H24" s="388"/>
      <c r="I24" s="388"/>
      <c r="J24" s="388"/>
      <c r="K24" s="389"/>
      <c r="L24" s="457"/>
    </row>
    <row r="25" spans="1:12" x14ac:dyDescent="0.2">
      <c r="A25" s="205">
        <v>11</v>
      </c>
      <c r="B25" s="36"/>
      <c r="C25" s="9"/>
      <c r="D25" s="9" t="s">
        <v>102</v>
      </c>
      <c r="E25" s="18"/>
      <c r="F25" s="19" t="s">
        <v>103</v>
      </c>
      <c r="G25" s="390">
        <f>'Yr 1 Operating Statement of Act'!G25</f>
        <v>1766855.6143234726</v>
      </c>
      <c r="H25" s="449">
        <f>+'MFP Assumptions'!D55</f>
        <v>2029777.5521937981</v>
      </c>
      <c r="I25" s="449">
        <f>+'MFP Assumptions'!D85</f>
        <v>2142768.9995378973</v>
      </c>
      <c r="J25" s="449">
        <f>+'MFP Assumptions'!D115</f>
        <v>2255760.4468819974</v>
      </c>
      <c r="K25" s="450">
        <f>+'MFP Assumptions'!D145</f>
        <v>2368751.8942260975</v>
      </c>
      <c r="L25" s="456" t="s">
        <v>389</v>
      </c>
    </row>
    <row r="26" spans="1:12" x14ac:dyDescent="0.2">
      <c r="A26" s="205">
        <v>12</v>
      </c>
      <c r="B26" s="36"/>
      <c r="C26" s="9"/>
      <c r="D26" s="9" t="s">
        <v>104</v>
      </c>
      <c r="E26" s="18"/>
      <c r="F26" s="19" t="s">
        <v>105</v>
      </c>
      <c r="G26" s="390">
        <f>'Yr 1 Operating Statement of Act'!G26</f>
        <v>0</v>
      </c>
      <c r="H26" s="391"/>
      <c r="I26" s="391"/>
      <c r="J26" s="391"/>
      <c r="K26" s="392"/>
      <c r="L26" s="456"/>
    </row>
    <row r="27" spans="1:12" x14ac:dyDescent="0.2">
      <c r="A27" s="205"/>
      <c r="B27" s="36"/>
      <c r="C27" s="9" t="s">
        <v>106</v>
      </c>
      <c r="D27" s="9"/>
      <c r="E27" s="61"/>
      <c r="F27" s="62"/>
      <c r="G27" s="387"/>
      <c r="H27" s="388"/>
      <c r="I27" s="388"/>
      <c r="J27" s="388"/>
      <c r="K27" s="389"/>
      <c r="L27" s="457"/>
    </row>
    <row r="28" spans="1:12" x14ac:dyDescent="0.2">
      <c r="A28" s="205">
        <v>13</v>
      </c>
      <c r="B28" s="36"/>
      <c r="C28" s="9"/>
      <c r="D28" s="9" t="s">
        <v>107</v>
      </c>
      <c r="E28" s="18"/>
      <c r="F28" s="19" t="s">
        <v>108</v>
      </c>
      <c r="G28" s="390">
        <f>'Yr 1 Operating Statement of Act'!G28</f>
        <v>0</v>
      </c>
      <c r="H28" s="391"/>
      <c r="I28" s="391"/>
      <c r="J28" s="391"/>
      <c r="K28" s="392"/>
      <c r="L28" s="456"/>
    </row>
    <row r="29" spans="1:12" x14ac:dyDescent="0.2">
      <c r="A29" s="205">
        <v>14</v>
      </c>
      <c r="B29" s="36"/>
      <c r="C29" s="9"/>
      <c r="D29" s="9" t="s">
        <v>109</v>
      </c>
      <c r="E29" s="18"/>
      <c r="F29" s="19" t="s">
        <v>110</v>
      </c>
      <c r="G29" s="390">
        <f>'Yr 1 Operating Statement of Act'!G29</f>
        <v>0</v>
      </c>
      <c r="H29" s="391"/>
      <c r="I29" s="391"/>
      <c r="J29" s="391"/>
      <c r="K29" s="392"/>
      <c r="L29" s="456"/>
    </row>
    <row r="30" spans="1:12" x14ac:dyDescent="0.2">
      <c r="A30" s="205">
        <v>15</v>
      </c>
      <c r="B30" s="42"/>
      <c r="C30" s="43"/>
      <c r="D30" s="43" t="s">
        <v>111</v>
      </c>
      <c r="E30" s="22"/>
      <c r="F30" s="23" t="s">
        <v>112</v>
      </c>
      <c r="G30" s="393">
        <f>'Yr 1 Operating Statement of Act'!G30</f>
        <v>0</v>
      </c>
      <c r="H30" s="394"/>
      <c r="I30" s="394"/>
      <c r="J30" s="394"/>
      <c r="K30" s="395"/>
      <c r="L30" s="459"/>
    </row>
    <row r="31" spans="1:12" s="94" customFormat="1" ht="12.75" x14ac:dyDescent="0.2">
      <c r="A31" s="205">
        <v>16</v>
      </c>
      <c r="B31" s="91"/>
      <c r="C31" s="447"/>
      <c r="D31" s="447"/>
      <c r="E31" s="92"/>
      <c r="F31" s="93"/>
      <c r="G31" s="137">
        <f>'Yr 1 Operating Statement of Act'!G31</f>
        <v>0</v>
      </c>
      <c r="H31" s="138"/>
      <c r="I31" s="138"/>
      <c r="J31" s="138"/>
      <c r="K31" s="139"/>
      <c r="L31" s="462"/>
    </row>
    <row r="32" spans="1:12" x14ac:dyDescent="0.2">
      <c r="A32" s="205">
        <v>17</v>
      </c>
      <c r="B32" s="42"/>
      <c r="C32" s="43"/>
      <c r="D32" s="43"/>
      <c r="E32" s="22"/>
      <c r="F32" s="23"/>
      <c r="G32" s="393">
        <f>'Yr 1 Operating Statement of Act'!G32</f>
        <v>0</v>
      </c>
      <c r="H32" s="394"/>
      <c r="I32" s="394"/>
      <c r="J32" s="394"/>
      <c r="K32" s="395"/>
      <c r="L32" s="463"/>
    </row>
    <row r="33" spans="1:12" ht="15" thickBot="1" x14ac:dyDescent="0.25">
      <c r="A33" s="210">
        <v>18</v>
      </c>
      <c r="B33" s="47" t="s">
        <v>113</v>
      </c>
      <c r="C33" s="6"/>
      <c r="D33" s="6"/>
      <c r="E33" s="49"/>
      <c r="F33" s="50"/>
      <c r="G33" s="396">
        <f>SUM(G25:G32)</f>
        <v>1766855.6143234726</v>
      </c>
      <c r="H33" s="396">
        <f>SUM(H25:H32)</f>
        <v>2029777.5521937981</v>
      </c>
      <c r="I33" s="396">
        <f>SUM(I25:I32)</f>
        <v>2142768.9995378973</v>
      </c>
      <c r="J33" s="396">
        <f>SUM(J25:J32)</f>
        <v>2255760.4468819974</v>
      </c>
      <c r="K33" s="397">
        <f>SUM(K25:K32)</f>
        <v>2368751.8942260975</v>
      </c>
      <c r="L33" s="464"/>
    </row>
    <row r="34" spans="1:12" s="101" customFormat="1" ht="15" thickTop="1" x14ac:dyDescent="0.2">
      <c r="A34" s="228"/>
      <c r="E34" s="102"/>
      <c r="F34" s="102"/>
      <c r="L34" s="465"/>
    </row>
    <row r="35" spans="1:12" s="101" customFormat="1" x14ac:dyDescent="0.2">
      <c r="A35" s="100"/>
      <c r="E35" s="102"/>
      <c r="F35" s="102"/>
      <c r="L35" s="465"/>
    </row>
    <row r="36" spans="1:12" s="101" customFormat="1" x14ac:dyDescent="0.2">
      <c r="A36" s="100"/>
      <c r="E36" s="102"/>
      <c r="F36" s="102"/>
      <c r="L36" s="465"/>
    </row>
    <row r="37" spans="1:12" s="101" customFormat="1" x14ac:dyDescent="0.2">
      <c r="A37" s="100"/>
      <c r="E37" s="102"/>
      <c r="F37" s="102"/>
      <c r="L37" s="465"/>
    </row>
    <row r="38" spans="1:12" s="101" customFormat="1" ht="42" customHeight="1" x14ac:dyDescent="0.2">
      <c r="A38" s="607" t="s">
        <v>114</v>
      </c>
      <c r="B38" s="625"/>
      <c r="C38" s="625"/>
      <c r="D38" s="625"/>
      <c r="E38" s="625"/>
      <c r="F38" s="625"/>
      <c r="G38" s="625"/>
      <c r="H38" s="625"/>
      <c r="I38" s="625"/>
      <c r="J38" s="625"/>
      <c r="K38" s="625"/>
      <c r="L38" s="466"/>
    </row>
    <row r="39" spans="1:12" s="101" customFormat="1" x14ac:dyDescent="0.2">
      <c r="A39" s="100"/>
      <c r="E39" s="102"/>
      <c r="F39" s="102"/>
      <c r="L39" s="465"/>
    </row>
    <row r="40" spans="1:12" s="101" customFormat="1" ht="15" thickBot="1" x14ac:dyDescent="0.25">
      <c r="A40" s="100"/>
      <c r="E40" s="102"/>
      <c r="F40" s="102"/>
      <c r="L40" s="465"/>
    </row>
    <row r="41" spans="1:12" ht="15" thickTop="1" x14ac:dyDescent="0.2">
      <c r="A41" s="33"/>
      <c r="B41" s="26" t="s">
        <v>115</v>
      </c>
      <c r="C41" s="24"/>
      <c r="D41" s="24"/>
      <c r="E41" s="71"/>
      <c r="F41" s="72"/>
      <c r="G41" s="384"/>
      <c r="H41" s="385"/>
      <c r="I41" s="385"/>
      <c r="J41" s="385"/>
      <c r="K41" s="398"/>
      <c r="L41" s="467"/>
    </row>
    <row r="42" spans="1:12" x14ac:dyDescent="0.2">
      <c r="A42" s="31"/>
      <c r="B42" s="36"/>
      <c r="C42" s="9" t="s">
        <v>116</v>
      </c>
      <c r="D42" s="9"/>
      <c r="E42" s="61"/>
      <c r="F42" s="62"/>
      <c r="G42" s="387"/>
      <c r="H42" s="388"/>
      <c r="I42" s="388"/>
      <c r="J42" s="388"/>
      <c r="K42" s="399"/>
      <c r="L42" s="468"/>
    </row>
    <row r="43" spans="1:12" x14ac:dyDescent="0.2">
      <c r="A43" s="205">
        <v>19</v>
      </c>
      <c r="B43" s="36"/>
      <c r="C43" s="9"/>
      <c r="D43" s="9" t="s">
        <v>117</v>
      </c>
      <c r="E43" s="18"/>
      <c r="F43" s="19" t="s">
        <v>118</v>
      </c>
      <c r="G43" s="390">
        <f>'Yr 1 Operating Statement of Act'!G43</f>
        <v>0</v>
      </c>
      <c r="H43" s="391"/>
      <c r="I43" s="391"/>
      <c r="J43" s="391"/>
      <c r="K43" s="400"/>
      <c r="L43" s="469"/>
    </row>
    <row r="44" spans="1:12" x14ac:dyDescent="0.2">
      <c r="A44" s="205"/>
      <c r="B44" s="36"/>
      <c r="C44" s="9" t="s">
        <v>119</v>
      </c>
      <c r="D44" s="9"/>
      <c r="E44" s="61"/>
      <c r="F44" s="62"/>
      <c r="G44" s="387"/>
      <c r="H44" s="388"/>
      <c r="I44" s="388"/>
      <c r="J44" s="388"/>
      <c r="K44" s="399"/>
      <c r="L44" s="468"/>
    </row>
    <row r="45" spans="1:12" x14ac:dyDescent="0.2">
      <c r="A45" s="205">
        <v>20</v>
      </c>
      <c r="B45" s="36"/>
      <c r="C45" s="9"/>
      <c r="D45" s="9" t="s">
        <v>120</v>
      </c>
      <c r="E45" s="18"/>
      <c r="F45" s="19" t="s">
        <v>121</v>
      </c>
      <c r="G45" s="390">
        <f>'Yr 1 Operating Statement of Act'!G45</f>
        <v>0</v>
      </c>
      <c r="H45" s="391"/>
      <c r="I45" s="391"/>
      <c r="J45" s="391"/>
      <c r="K45" s="400"/>
      <c r="L45" s="470"/>
    </row>
    <row r="46" spans="1:12" x14ac:dyDescent="0.2">
      <c r="A46" s="205"/>
      <c r="B46" s="36"/>
      <c r="C46" s="9" t="s">
        <v>122</v>
      </c>
      <c r="D46" s="9"/>
      <c r="E46" s="61"/>
      <c r="F46" s="62"/>
      <c r="G46" s="387"/>
      <c r="H46" s="388"/>
      <c r="I46" s="388"/>
      <c r="J46" s="388"/>
      <c r="K46" s="399"/>
      <c r="L46" s="471"/>
    </row>
    <row r="47" spans="1:12" x14ac:dyDescent="0.2">
      <c r="A47" s="205">
        <v>21</v>
      </c>
      <c r="B47" s="36"/>
      <c r="C47" s="9"/>
      <c r="D47" s="9" t="s">
        <v>123</v>
      </c>
      <c r="E47" s="18"/>
      <c r="F47" s="19" t="s">
        <v>124</v>
      </c>
      <c r="G47" s="137">
        <f>'Yr 1 Operating Statement of Act'!G47</f>
        <v>314053.76897321432</v>
      </c>
      <c r="H47" s="391">
        <f>+'Rev &amp; Exp Assumptions'!E7</f>
        <v>332527.5200892858</v>
      </c>
      <c r="I47" s="391">
        <f>+'Rev &amp; Exp Assumptions'!F7</f>
        <v>351001.27120535722</v>
      </c>
      <c r="J47" s="391">
        <f>+'Rev &amp; Exp Assumptions'!G7</f>
        <v>369475.02232142864</v>
      </c>
      <c r="K47" s="400">
        <f>+'Rev &amp; Exp Assumptions'!H7</f>
        <v>387948.77343750006</v>
      </c>
      <c r="L47" s="456" t="s">
        <v>391</v>
      </c>
    </row>
    <row r="48" spans="1:12" x14ac:dyDescent="0.2">
      <c r="A48" s="205"/>
      <c r="B48" s="36"/>
      <c r="C48" s="9"/>
      <c r="D48" s="9" t="s">
        <v>126</v>
      </c>
      <c r="E48" s="61"/>
      <c r="F48" s="62"/>
      <c r="G48" s="387"/>
      <c r="H48" s="388"/>
      <c r="I48" s="388"/>
      <c r="J48" s="388"/>
      <c r="K48" s="399"/>
      <c r="L48" s="471"/>
    </row>
    <row r="49" spans="1:12" x14ac:dyDescent="0.2">
      <c r="A49" s="205">
        <v>22</v>
      </c>
      <c r="B49" s="36"/>
      <c r="C49" s="9"/>
      <c r="D49" s="9" t="s">
        <v>127</v>
      </c>
      <c r="E49" s="18"/>
      <c r="F49" s="19" t="s">
        <v>128</v>
      </c>
      <c r="G49" s="137">
        <f>'Yr 1 Operating Statement of Act'!G49</f>
        <v>90170.638736263732</v>
      </c>
      <c r="H49" s="391">
        <f>+'Rev &amp; Exp Assumptions'!E6</f>
        <v>95474.793956043955</v>
      </c>
      <c r="I49" s="391">
        <f>+'Rev &amp; Exp Assumptions'!F6</f>
        <v>100778.94917582418</v>
      </c>
      <c r="J49" s="391">
        <f>+'Rev &amp; Exp Assumptions'!G6</f>
        <v>106083.1043956044</v>
      </c>
      <c r="K49" s="391">
        <f>+'Rev &amp; Exp Assumptions'!H6</f>
        <v>111387.25961538461</v>
      </c>
      <c r="L49" s="456" t="s">
        <v>392</v>
      </c>
    </row>
    <row r="50" spans="1:12" x14ac:dyDescent="0.2">
      <c r="A50" s="205">
        <v>23</v>
      </c>
      <c r="B50" s="36"/>
      <c r="C50" s="9"/>
      <c r="D50" s="9" t="s">
        <v>129</v>
      </c>
      <c r="E50" s="18"/>
      <c r="F50" s="19" t="s">
        <v>130</v>
      </c>
      <c r="G50" s="137">
        <f>'Yr 1 Operating Statement of Act'!G50</f>
        <v>0</v>
      </c>
      <c r="H50" s="391"/>
      <c r="I50" s="391"/>
      <c r="J50" s="391"/>
      <c r="K50" s="400"/>
      <c r="L50" s="472"/>
    </row>
    <row r="51" spans="1:12" x14ac:dyDescent="0.2">
      <c r="A51" s="205">
        <v>24</v>
      </c>
      <c r="B51" s="36"/>
      <c r="C51" s="9"/>
      <c r="D51" s="9" t="s">
        <v>131</v>
      </c>
      <c r="E51" s="18"/>
      <c r="F51" s="19" t="s">
        <v>132</v>
      </c>
      <c r="G51" s="137">
        <f>'Yr 1 Operating Statement of Act'!G51</f>
        <v>0</v>
      </c>
      <c r="H51" s="391"/>
      <c r="I51" s="391"/>
      <c r="J51" s="391"/>
      <c r="K51" s="400"/>
      <c r="L51" s="472"/>
    </row>
    <row r="52" spans="1:12" x14ac:dyDescent="0.2">
      <c r="A52" s="205"/>
      <c r="B52" s="36"/>
      <c r="C52" s="9"/>
      <c r="D52" s="9" t="s">
        <v>133</v>
      </c>
      <c r="E52" s="61"/>
      <c r="F52" s="62"/>
      <c r="G52" s="387"/>
      <c r="H52" s="388"/>
      <c r="I52" s="388"/>
      <c r="J52" s="388"/>
      <c r="K52" s="399"/>
      <c r="L52" s="471"/>
    </row>
    <row r="53" spans="1:12" x14ac:dyDescent="0.2">
      <c r="A53" s="205">
        <v>25</v>
      </c>
      <c r="B53" s="36"/>
      <c r="C53" s="9"/>
      <c r="D53" s="9" t="s">
        <v>134</v>
      </c>
      <c r="E53" s="18"/>
      <c r="F53" s="19" t="s">
        <v>135</v>
      </c>
      <c r="G53" s="137">
        <f>'Yr 1 Operating Statement of Act'!G53</f>
        <v>376597.35200071824</v>
      </c>
      <c r="H53" s="391">
        <f>+'Rev &amp; Exp Assumptions'!E5</f>
        <v>398750.13741252519</v>
      </c>
      <c r="I53" s="391">
        <f>+'Rev &amp; Exp Assumptions'!F5</f>
        <v>420902.92282433214</v>
      </c>
      <c r="J53" s="391">
        <f>+'Rev &amp; Exp Assumptions'!G5</f>
        <v>443055.70823613909</v>
      </c>
      <c r="K53" s="400">
        <f>+'Rev &amp; Exp Assumptions'!H5</f>
        <v>465208.49364794604</v>
      </c>
      <c r="L53" s="456" t="s">
        <v>393</v>
      </c>
    </row>
    <row r="54" spans="1:12" x14ac:dyDescent="0.2">
      <c r="A54" s="205">
        <v>26</v>
      </c>
      <c r="B54" s="36"/>
      <c r="C54" s="9"/>
      <c r="D54" s="9" t="s">
        <v>136</v>
      </c>
      <c r="E54" s="18"/>
      <c r="F54" s="19" t="s">
        <v>137</v>
      </c>
      <c r="G54" s="137">
        <f>'Yr 1 Operating Statement of Act'!G54</f>
        <v>0</v>
      </c>
      <c r="H54" s="391"/>
      <c r="I54" s="391"/>
      <c r="J54" s="391"/>
      <c r="K54" s="400"/>
      <c r="L54" s="472"/>
    </row>
    <row r="55" spans="1:12" x14ac:dyDescent="0.2">
      <c r="A55" s="205">
        <v>27</v>
      </c>
      <c r="B55" s="36"/>
      <c r="C55" s="9"/>
      <c r="D55" s="9" t="s">
        <v>138</v>
      </c>
      <c r="E55" s="18"/>
      <c r="F55" s="19" t="s">
        <v>139</v>
      </c>
      <c r="G55" s="137">
        <f>'Yr 1 Operating Statement of Act'!G55</f>
        <v>0</v>
      </c>
      <c r="H55" s="391"/>
      <c r="I55" s="391"/>
      <c r="J55" s="391"/>
      <c r="K55" s="400"/>
      <c r="L55" s="472"/>
    </row>
    <row r="56" spans="1:12" x14ac:dyDescent="0.2">
      <c r="A56" s="205">
        <v>28</v>
      </c>
      <c r="B56" s="36"/>
      <c r="C56" s="9"/>
      <c r="D56" s="9" t="s">
        <v>140</v>
      </c>
      <c r="E56" s="18"/>
      <c r="F56" s="19" t="s">
        <v>141</v>
      </c>
      <c r="G56" s="137">
        <f>'Yr 1 Operating Statement of Act'!G56</f>
        <v>0</v>
      </c>
      <c r="H56" s="391"/>
      <c r="I56" s="391"/>
      <c r="J56" s="391"/>
      <c r="K56" s="400"/>
      <c r="L56" s="472"/>
    </row>
    <row r="57" spans="1:12" x14ac:dyDescent="0.2">
      <c r="A57" s="205">
        <v>29</v>
      </c>
      <c r="B57" s="36"/>
      <c r="C57" s="9"/>
      <c r="D57" s="9" t="s">
        <v>142</v>
      </c>
      <c r="E57" s="18"/>
      <c r="F57" s="19" t="s">
        <v>143</v>
      </c>
      <c r="G57" s="137">
        <f>'Yr 1 Operating Statement of Act'!G57</f>
        <v>0</v>
      </c>
      <c r="H57" s="391"/>
      <c r="I57" s="391"/>
      <c r="J57" s="391"/>
      <c r="K57" s="400"/>
      <c r="L57" s="456"/>
    </row>
    <row r="58" spans="1:12" x14ac:dyDescent="0.2">
      <c r="A58" s="205">
        <v>30</v>
      </c>
      <c r="B58" s="36"/>
      <c r="C58" s="9"/>
      <c r="D58" s="9" t="s">
        <v>144</v>
      </c>
      <c r="E58" s="18"/>
      <c r="F58" s="19" t="s">
        <v>145</v>
      </c>
      <c r="G58" s="137">
        <f>'Yr 1 Operating Statement of Act'!G58</f>
        <v>0</v>
      </c>
      <c r="H58" s="391"/>
      <c r="I58" s="391"/>
      <c r="J58" s="391"/>
      <c r="K58" s="400"/>
      <c r="L58" s="472"/>
    </row>
    <row r="59" spans="1:12" x14ac:dyDescent="0.2">
      <c r="A59" s="205">
        <v>31</v>
      </c>
      <c r="B59" s="36"/>
      <c r="C59" s="9"/>
      <c r="D59" s="9" t="s">
        <v>146</v>
      </c>
      <c r="E59" s="18"/>
      <c r="F59" s="19" t="s">
        <v>147</v>
      </c>
      <c r="G59" s="137">
        <f>'Yr 1 Operating Statement of Act'!G59</f>
        <v>0</v>
      </c>
      <c r="H59" s="391"/>
      <c r="I59" s="391"/>
      <c r="J59" s="391"/>
      <c r="K59" s="400"/>
      <c r="L59" s="456"/>
    </row>
    <row r="60" spans="1:12" x14ac:dyDescent="0.2">
      <c r="A60" s="205"/>
      <c r="B60" s="36"/>
      <c r="C60" s="9" t="s">
        <v>148</v>
      </c>
      <c r="D60" s="9"/>
      <c r="E60" s="73"/>
      <c r="F60" s="74"/>
      <c r="G60" s="387"/>
      <c r="H60" s="388"/>
      <c r="I60" s="388"/>
      <c r="J60" s="388"/>
      <c r="K60" s="399"/>
      <c r="L60" s="473"/>
    </row>
    <row r="61" spans="1:12" x14ac:dyDescent="0.2">
      <c r="A61" s="205">
        <v>32</v>
      </c>
      <c r="B61" s="36"/>
      <c r="C61" s="9"/>
      <c r="D61" s="9" t="s">
        <v>149</v>
      </c>
      <c r="E61" s="18"/>
      <c r="F61" s="19" t="s">
        <v>150</v>
      </c>
      <c r="G61" s="137">
        <f>'Yr 1 Operating Statement of Act'!G61</f>
        <v>0</v>
      </c>
      <c r="H61" s="391"/>
      <c r="I61" s="391"/>
      <c r="J61" s="391"/>
      <c r="K61" s="400"/>
      <c r="L61" s="469"/>
    </row>
    <row r="62" spans="1:12" s="94" customFormat="1" ht="14.25" customHeight="1" x14ac:dyDescent="0.2">
      <c r="A62" s="205">
        <v>33</v>
      </c>
      <c r="B62" s="91"/>
      <c r="C62" s="82" t="s">
        <v>98</v>
      </c>
      <c r="D62" s="82"/>
      <c r="E62" s="92"/>
      <c r="F62" s="93"/>
      <c r="G62" s="137">
        <f>'Yr 1 Operating Statement of Act'!G62</f>
        <v>0</v>
      </c>
      <c r="H62" s="138"/>
      <c r="I62" s="138"/>
      <c r="J62" s="138"/>
      <c r="K62" s="140"/>
      <c r="L62" s="474"/>
    </row>
    <row r="63" spans="1:12" s="94" customFormat="1" ht="14.25" customHeight="1" x14ac:dyDescent="0.2">
      <c r="A63" s="205">
        <v>34</v>
      </c>
      <c r="B63" s="91"/>
      <c r="C63" s="82"/>
      <c r="D63" s="82"/>
      <c r="E63" s="92"/>
      <c r="F63" s="93"/>
      <c r="G63" s="137">
        <f>'Yr 1 Operating Statement of Act'!G63</f>
        <v>0</v>
      </c>
      <c r="H63" s="138"/>
      <c r="I63" s="138"/>
      <c r="J63" s="138"/>
      <c r="K63" s="140"/>
      <c r="L63" s="474"/>
    </row>
    <row r="64" spans="1:12" x14ac:dyDescent="0.2">
      <c r="A64" s="205">
        <v>35</v>
      </c>
      <c r="B64" s="42"/>
      <c r="C64" s="43"/>
      <c r="D64" s="43"/>
      <c r="E64" s="22"/>
      <c r="F64" s="23"/>
      <c r="G64" s="137">
        <f>'Yr 1 Operating Statement of Act'!G64</f>
        <v>0</v>
      </c>
      <c r="H64" s="394"/>
      <c r="I64" s="394"/>
      <c r="J64" s="394"/>
      <c r="K64" s="401"/>
      <c r="L64" s="475"/>
    </row>
    <row r="65" spans="1:12" x14ac:dyDescent="0.2">
      <c r="A65" s="210">
        <v>36</v>
      </c>
      <c r="B65" s="47" t="s">
        <v>151</v>
      </c>
      <c r="C65" s="6"/>
      <c r="D65" s="6"/>
      <c r="E65" s="49"/>
      <c r="F65" s="50"/>
      <c r="G65" s="396">
        <f>SUM(G43:G64)</f>
        <v>780821.75971019629</v>
      </c>
      <c r="H65" s="396">
        <f>SUM(H43:H64)</f>
        <v>826752.45145785494</v>
      </c>
      <c r="I65" s="396">
        <f>SUM(I43:I64)</f>
        <v>872683.14320551348</v>
      </c>
      <c r="J65" s="396">
        <f>SUM(J43:J64)</f>
        <v>918613.83495317213</v>
      </c>
      <c r="K65" s="402">
        <f>SUM(K43:K64)</f>
        <v>964544.52670083079</v>
      </c>
      <c r="L65" s="476"/>
    </row>
    <row r="66" spans="1:12" x14ac:dyDescent="0.2">
      <c r="A66" s="205"/>
      <c r="B66" s="36"/>
      <c r="C66" s="9"/>
      <c r="D66" s="9"/>
      <c r="E66" s="61"/>
      <c r="F66" s="62"/>
      <c r="G66" s="387"/>
      <c r="H66" s="388"/>
      <c r="I66" s="388"/>
      <c r="J66" s="388"/>
      <c r="K66" s="399"/>
      <c r="L66" s="468"/>
    </row>
    <row r="67" spans="1:12" s="13" customFormat="1" x14ac:dyDescent="0.2">
      <c r="A67" s="212"/>
      <c r="B67" s="25" t="s">
        <v>152</v>
      </c>
      <c r="C67" s="11"/>
      <c r="D67" s="11"/>
      <c r="E67" s="61"/>
      <c r="F67" s="62"/>
      <c r="G67" s="387"/>
      <c r="H67" s="388"/>
      <c r="I67" s="388"/>
      <c r="J67" s="388"/>
      <c r="K67" s="399"/>
      <c r="L67" s="468"/>
    </row>
    <row r="68" spans="1:12" s="99" customFormat="1" x14ac:dyDescent="0.2">
      <c r="A68" s="213">
        <v>37</v>
      </c>
      <c r="B68" s="95"/>
      <c r="C68" s="96" t="s">
        <v>153</v>
      </c>
      <c r="D68" s="96"/>
      <c r="E68" s="97"/>
      <c r="F68" s="98" t="s">
        <v>154</v>
      </c>
      <c r="G68" s="137">
        <f>'Yr 1 Operating Statement of Act'!G68</f>
        <v>567.15315934065927</v>
      </c>
      <c r="H68" s="403"/>
      <c r="I68" s="403"/>
      <c r="J68" s="403"/>
      <c r="K68" s="404"/>
      <c r="L68" s="477"/>
    </row>
    <row r="69" spans="1:12" ht="15" thickBot="1" x14ac:dyDescent="0.25">
      <c r="A69" s="207">
        <v>38</v>
      </c>
      <c r="B69" s="42"/>
      <c r="C69" s="43"/>
      <c r="D69" s="43"/>
      <c r="E69" s="133"/>
      <c r="F69" s="134"/>
      <c r="G69" s="405"/>
      <c r="H69" s="406"/>
      <c r="I69" s="406"/>
      <c r="J69" s="406"/>
      <c r="K69" s="407"/>
      <c r="L69" s="478"/>
    </row>
    <row r="70" spans="1:12" ht="15" thickBot="1" x14ac:dyDescent="0.25">
      <c r="A70" s="214">
        <v>39</v>
      </c>
      <c r="B70" s="44" t="s">
        <v>155</v>
      </c>
      <c r="C70" s="7"/>
      <c r="D70" s="7"/>
      <c r="E70" s="45"/>
      <c r="F70" s="46"/>
      <c r="G70" s="408">
        <f>G21+G33+G65+G68+G69</f>
        <v>5019675.2347822953</v>
      </c>
      <c r="H70" s="408">
        <f>H21+H33+H65+H68+H69</f>
        <v>5410773.811687368</v>
      </c>
      <c r="I70" s="408">
        <f>I21+I33+I65+I68+I69</f>
        <v>5502509.0512255533</v>
      </c>
      <c r="J70" s="408">
        <f>J21+J33+J65+J68+J69</f>
        <v>5794244.2907637414</v>
      </c>
      <c r="K70" s="409">
        <f>K21+K33+K65+K68+K69</f>
        <v>6085979.5303019285</v>
      </c>
      <c r="L70" s="479"/>
    </row>
    <row r="71" spans="1:12" x14ac:dyDescent="0.2">
      <c r="A71" s="215"/>
      <c r="G71" s="410"/>
      <c r="H71" s="410"/>
      <c r="I71" s="410"/>
      <c r="J71" s="410"/>
      <c r="K71" s="410"/>
      <c r="L71" s="480"/>
    </row>
    <row r="72" spans="1:12" x14ac:dyDescent="0.2">
      <c r="A72" s="215"/>
      <c r="G72" s="410"/>
      <c r="H72" s="410"/>
      <c r="I72" s="410"/>
      <c r="J72" s="410"/>
      <c r="K72" s="410"/>
      <c r="L72" s="481"/>
    </row>
    <row r="73" spans="1:12" x14ac:dyDescent="0.2">
      <c r="A73" s="215"/>
      <c r="G73" s="410"/>
      <c r="H73" s="410"/>
      <c r="I73" s="410"/>
      <c r="J73" s="410"/>
      <c r="K73" s="410"/>
      <c r="L73" s="481"/>
    </row>
    <row r="74" spans="1:12" s="13" customFormat="1" ht="20.25" customHeight="1" x14ac:dyDescent="0.25">
      <c r="A74" s="216"/>
      <c r="B74" s="20" t="s">
        <v>156</v>
      </c>
      <c r="E74" s="14"/>
      <c r="F74" s="15"/>
      <c r="G74" s="411"/>
      <c r="H74" s="412"/>
      <c r="I74" s="412"/>
      <c r="J74" s="412"/>
      <c r="K74" s="413"/>
      <c r="L74" s="482"/>
    </row>
    <row r="75" spans="1:12" x14ac:dyDescent="0.2">
      <c r="A75" s="216"/>
      <c r="E75" s="14" t="s">
        <v>157</v>
      </c>
      <c r="F75" s="15"/>
      <c r="G75" s="411"/>
      <c r="H75" s="412"/>
      <c r="I75" s="412"/>
      <c r="J75" s="412"/>
      <c r="K75" s="413"/>
      <c r="L75" s="482"/>
    </row>
    <row r="76" spans="1:12" s="4" customFormat="1" ht="15" x14ac:dyDescent="0.25">
      <c r="A76" s="217"/>
      <c r="B76" s="54" t="s">
        <v>158</v>
      </c>
      <c r="C76" s="55"/>
      <c r="D76" s="55"/>
      <c r="E76" s="63" t="s">
        <v>157</v>
      </c>
      <c r="F76" s="64"/>
      <c r="G76" s="141"/>
      <c r="H76" s="142"/>
      <c r="I76" s="142"/>
      <c r="J76" s="142"/>
      <c r="K76" s="143"/>
      <c r="L76" s="483"/>
    </row>
    <row r="77" spans="1:12" s="4" customFormat="1" ht="15" x14ac:dyDescent="0.25">
      <c r="A77" s="218"/>
      <c r="B77" s="89" t="s">
        <v>159</v>
      </c>
      <c r="C77" s="56"/>
      <c r="D77" s="56"/>
      <c r="E77" s="65"/>
      <c r="F77" s="66"/>
      <c r="G77" s="144"/>
      <c r="H77" s="145"/>
      <c r="I77" s="145"/>
      <c r="J77" s="145"/>
      <c r="K77" s="146"/>
      <c r="L77" s="484"/>
    </row>
    <row r="78" spans="1:12" x14ac:dyDescent="0.2">
      <c r="A78" s="219"/>
      <c r="B78" s="36"/>
      <c r="C78" s="9" t="s">
        <v>160</v>
      </c>
      <c r="D78" s="9"/>
      <c r="E78" s="61"/>
      <c r="F78" s="62"/>
      <c r="G78" s="414"/>
      <c r="H78" s="388"/>
      <c r="I78" s="388"/>
      <c r="J78" s="388"/>
      <c r="K78" s="399"/>
      <c r="L78" s="468"/>
    </row>
    <row r="79" spans="1:12" x14ac:dyDescent="0.2">
      <c r="A79" s="219">
        <v>40</v>
      </c>
      <c r="B79" s="36"/>
      <c r="C79" s="9"/>
      <c r="D79" s="9" t="s">
        <v>161</v>
      </c>
      <c r="E79" s="18">
        <v>112</v>
      </c>
      <c r="F79" s="19">
        <v>1100</v>
      </c>
      <c r="G79" s="391">
        <f>'Yr 1 Operating Statement of Act'!G79</f>
        <v>1225000</v>
      </c>
      <c r="H79" s="391">
        <f>(49000*3)+G79</f>
        <v>1372000</v>
      </c>
      <c r="I79" s="391">
        <f>(49000*3)+H79</f>
        <v>1519000</v>
      </c>
      <c r="J79" s="391">
        <f>(49000*3)+I79</f>
        <v>1666000</v>
      </c>
      <c r="K79" s="391">
        <f>(49000*3)+J79</f>
        <v>1813000</v>
      </c>
      <c r="L79" s="456" t="s">
        <v>394</v>
      </c>
    </row>
    <row r="80" spans="1:12" x14ac:dyDescent="0.2">
      <c r="A80" s="219">
        <v>41</v>
      </c>
      <c r="B80" s="36"/>
      <c r="C80" s="9"/>
      <c r="D80" s="9" t="s">
        <v>163</v>
      </c>
      <c r="E80" s="18" t="s">
        <v>164</v>
      </c>
      <c r="F80" s="19" t="s">
        <v>165</v>
      </c>
      <c r="G80" s="391">
        <f>'Yr 1 Operating Statement of Act'!G80</f>
        <v>120000</v>
      </c>
      <c r="H80" s="391">
        <f>+G80</f>
        <v>120000</v>
      </c>
      <c r="I80" s="391">
        <f t="shared" ref="I80:K80" si="0">+H80</f>
        <v>120000</v>
      </c>
      <c r="J80" s="391">
        <f t="shared" si="0"/>
        <v>120000</v>
      </c>
      <c r="K80" s="400">
        <f t="shared" si="0"/>
        <v>120000</v>
      </c>
      <c r="L80" s="456" t="s">
        <v>395</v>
      </c>
    </row>
    <row r="81" spans="1:12" x14ac:dyDescent="0.2">
      <c r="A81" s="219">
        <v>42</v>
      </c>
      <c r="B81" s="36"/>
      <c r="C81" s="9"/>
      <c r="D81" s="9" t="s">
        <v>166</v>
      </c>
      <c r="E81" s="18" t="s">
        <v>167</v>
      </c>
      <c r="F81" s="19" t="s">
        <v>165</v>
      </c>
      <c r="G81" s="391">
        <f>'Yr 1 Operating Statement of Act'!G81</f>
        <v>0</v>
      </c>
      <c r="H81" s="391"/>
      <c r="I81" s="391"/>
      <c r="J81" s="391"/>
      <c r="K81" s="400"/>
      <c r="L81" s="472"/>
    </row>
    <row r="82" spans="1:12" x14ac:dyDescent="0.2">
      <c r="A82" s="219">
        <v>43</v>
      </c>
      <c r="B82" s="36"/>
      <c r="C82" s="9" t="s">
        <v>168</v>
      </c>
      <c r="D82" s="9"/>
      <c r="E82" s="18" t="s">
        <v>169</v>
      </c>
      <c r="F82" s="19" t="s">
        <v>165</v>
      </c>
      <c r="G82" s="391">
        <f>'Yr 1 Operating Statement of Act'!G82</f>
        <v>19726.512190934067</v>
      </c>
      <c r="H82" s="391">
        <f>+'Rev &amp; Exp Assumptions'!D17</f>
        <v>19726.512190934067</v>
      </c>
      <c r="I82" s="391">
        <f>+'Rev &amp; Exp Assumptions'!E17</f>
        <v>20886.895260989011</v>
      </c>
      <c r="J82" s="391">
        <f>+'Rev &amp; Exp Assumptions'!F17</f>
        <v>22047.278331043959</v>
      </c>
      <c r="K82" s="400">
        <f>+'Rev &amp; Exp Assumptions'!G17</f>
        <v>23207.661401098903</v>
      </c>
      <c r="L82" s="456" t="s">
        <v>391</v>
      </c>
    </row>
    <row r="83" spans="1:12" x14ac:dyDescent="0.2">
      <c r="A83" s="219">
        <v>44</v>
      </c>
      <c r="B83" s="36"/>
      <c r="C83" s="9" t="s">
        <v>171</v>
      </c>
      <c r="D83" s="9"/>
      <c r="E83" s="18" t="s">
        <v>172</v>
      </c>
      <c r="F83" s="19" t="s">
        <v>165</v>
      </c>
      <c r="G83" s="391">
        <f>'Yr 1 Operating Statement of Act'!G83</f>
        <v>0</v>
      </c>
      <c r="H83" s="391"/>
      <c r="I83" s="391"/>
      <c r="J83" s="391"/>
      <c r="K83" s="400"/>
      <c r="L83" s="472"/>
    </row>
    <row r="84" spans="1:12" x14ac:dyDescent="0.2">
      <c r="A84" s="219">
        <v>45</v>
      </c>
      <c r="B84" s="36"/>
      <c r="C84" s="9" t="s">
        <v>173</v>
      </c>
      <c r="D84" s="9"/>
      <c r="E84" s="18" t="s">
        <v>174</v>
      </c>
      <c r="F84" s="19" t="s">
        <v>165</v>
      </c>
      <c r="G84" s="391">
        <f>'Yr 1 Operating Statement of Act'!G84</f>
        <v>0</v>
      </c>
      <c r="H84" s="391"/>
      <c r="I84" s="391"/>
      <c r="J84" s="391"/>
      <c r="K84" s="400"/>
      <c r="L84" s="456"/>
    </row>
    <row r="85" spans="1:12" x14ac:dyDescent="0.2">
      <c r="A85" s="219"/>
      <c r="B85" s="36"/>
      <c r="C85" s="9" t="s">
        <v>175</v>
      </c>
      <c r="D85" s="9"/>
      <c r="E85" s="61"/>
      <c r="F85" s="62"/>
      <c r="G85" s="388"/>
      <c r="H85" s="388"/>
      <c r="I85" s="388"/>
      <c r="J85" s="388"/>
      <c r="K85" s="399"/>
      <c r="L85" s="471"/>
    </row>
    <row r="86" spans="1:12" x14ac:dyDescent="0.2">
      <c r="A86" s="219">
        <v>46</v>
      </c>
      <c r="B86" s="36"/>
      <c r="C86" s="9"/>
      <c r="D86" s="9" t="s">
        <v>176</v>
      </c>
      <c r="E86" s="18" t="s">
        <v>177</v>
      </c>
      <c r="F86" s="19" t="s">
        <v>165</v>
      </c>
      <c r="G86" s="391">
        <f>'Yr 1 Operating Statement of Act'!G86</f>
        <v>0</v>
      </c>
      <c r="H86" s="391"/>
      <c r="I86" s="391"/>
      <c r="J86" s="391"/>
      <c r="K86" s="400"/>
      <c r="L86" s="456"/>
    </row>
    <row r="87" spans="1:12" x14ac:dyDescent="0.2">
      <c r="A87" s="219">
        <v>47</v>
      </c>
      <c r="B87" s="36"/>
      <c r="C87" s="9"/>
      <c r="D87" s="9" t="s">
        <v>178</v>
      </c>
      <c r="E87" s="18" t="s">
        <v>179</v>
      </c>
      <c r="F87" s="19" t="s">
        <v>165</v>
      </c>
      <c r="G87" s="391">
        <f>'Yr 1 Operating Statement of Act'!G87</f>
        <v>74069.49038461539</v>
      </c>
      <c r="H87" s="391">
        <f>+'Rev &amp; Exp Assumptions'!E24</f>
        <v>78426.519230769249</v>
      </c>
      <c r="I87" s="391">
        <f>+'Rev &amp; Exp Assumptions'!F24</f>
        <v>82783.548076923093</v>
      </c>
      <c r="J87" s="391">
        <f>+'Rev &amp; Exp Assumptions'!G24</f>
        <v>87140.576923076937</v>
      </c>
      <c r="K87" s="391">
        <f>+'Rev &amp; Exp Assumptions'!H24</f>
        <v>91497.60576923078</v>
      </c>
      <c r="L87" s="456" t="s">
        <v>391</v>
      </c>
    </row>
    <row r="88" spans="1:12" x14ac:dyDescent="0.2">
      <c r="A88" s="219">
        <v>48</v>
      </c>
      <c r="B88" s="36"/>
      <c r="C88" s="9" t="s">
        <v>180</v>
      </c>
      <c r="D88" s="9"/>
      <c r="E88" s="18" t="s">
        <v>181</v>
      </c>
      <c r="F88" s="19" t="s">
        <v>165</v>
      </c>
      <c r="G88" s="391">
        <f>'Yr 1 Operating Statement of Act'!G88</f>
        <v>0</v>
      </c>
      <c r="H88" s="391"/>
      <c r="I88" s="391"/>
      <c r="J88" s="391"/>
      <c r="K88" s="400"/>
      <c r="L88" s="472"/>
    </row>
    <row r="89" spans="1:12" x14ac:dyDescent="0.2">
      <c r="A89" s="219">
        <v>49</v>
      </c>
      <c r="B89" s="36"/>
      <c r="C89" s="9" t="s">
        <v>182</v>
      </c>
      <c r="D89" s="9"/>
      <c r="E89" s="18" t="s">
        <v>183</v>
      </c>
      <c r="F89" s="19" t="s">
        <v>165</v>
      </c>
      <c r="G89" s="391">
        <f>'Yr 1 Operating Statement of Act'!G89</f>
        <v>0</v>
      </c>
      <c r="H89" s="391"/>
      <c r="I89" s="391"/>
      <c r="J89" s="391"/>
      <c r="K89" s="400"/>
      <c r="L89" s="472"/>
    </row>
    <row r="90" spans="1:12" x14ac:dyDescent="0.2">
      <c r="A90" s="219">
        <v>50</v>
      </c>
      <c r="B90" s="36"/>
      <c r="C90" s="9" t="s">
        <v>184</v>
      </c>
      <c r="D90" s="9"/>
      <c r="E90" s="18" t="s">
        <v>185</v>
      </c>
      <c r="F90" s="19" t="s">
        <v>165</v>
      </c>
      <c r="G90" s="391">
        <f>'Yr 1 Operating Statement of Act'!G90</f>
        <v>107083.08000000002</v>
      </c>
      <c r="H90" s="391">
        <f>+G90*1.05</f>
        <v>112437.23400000003</v>
      </c>
      <c r="I90" s="391">
        <f t="shared" ref="I90:K90" si="1">+H90*1.05</f>
        <v>118059.09570000003</v>
      </c>
      <c r="J90" s="391">
        <f t="shared" si="1"/>
        <v>123962.05048500004</v>
      </c>
      <c r="K90" s="391">
        <f t="shared" si="1"/>
        <v>130160.15300925005</v>
      </c>
      <c r="L90" s="456" t="s">
        <v>396</v>
      </c>
    </row>
    <row r="91" spans="1:12" x14ac:dyDescent="0.2">
      <c r="A91" s="219">
        <v>51</v>
      </c>
      <c r="B91" s="36"/>
      <c r="C91" s="9" t="s">
        <v>186</v>
      </c>
      <c r="D91" s="9"/>
      <c r="E91" s="18" t="s">
        <v>187</v>
      </c>
      <c r="F91" s="19" t="s">
        <v>165</v>
      </c>
      <c r="G91" s="391">
        <f>'Yr 1 Operating Statement of Act'!G91</f>
        <v>83390</v>
      </c>
      <c r="H91" s="391">
        <f>(H79+H80)*6.2%</f>
        <v>92504</v>
      </c>
      <c r="I91" s="391">
        <f t="shared" ref="I91:K91" si="2">(I79+I80)*6.2%</f>
        <v>101618</v>
      </c>
      <c r="J91" s="391">
        <f t="shared" si="2"/>
        <v>110732</v>
      </c>
      <c r="K91" s="391">
        <f t="shared" si="2"/>
        <v>119846</v>
      </c>
      <c r="L91" s="472" t="s">
        <v>397</v>
      </c>
    </row>
    <row r="92" spans="1:12" x14ac:dyDescent="0.2">
      <c r="A92" s="219">
        <v>52</v>
      </c>
      <c r="B92" s="36"/>
      <c r="C92" s="9" t="s">
        <v>188</v>
      </c>
      <c r="D92" s="9"/>
      <c r="E92" s="18" t="s">
        <v>189</v>
      </c>
      <c r="F92" s="19" t="s">
        <v>165</v>
      </c>
      <c r="G92" s="391">
        <f>'Yr 1 Operating Statement of Act'!G92</f>
        <v>19502.5</v>
      </c>
      <c r="H92" s="391">
        <f>+(H79+H80)*1.45%</f>
        <v>21634</v>
      </c>
      <c r="I92" s="391">
        <f t="shared" ref="I92:K92" si="3">+(I79+I80)*1.45%</f>
        <v>23765.5</v>
      </c>
      <c r="J92" s="391">
        <f t="shared" si="3"/>
        <v>25897</v>
      </c>
      <c r="K92" s="391">
        <f t="shared" si="3"/>
        <v>28028.499999999996</v>
      </c>
      <c r="L92" s="456" t="s">
        <v>398</v>
      </c>
    </row>
    <row r="93" spans="1:12" x14ac:dyDescent="0.2">
      <c r="A93" s="219">
        <v>53</v>
      </c>
      <c r="B93" s="36"/>
      <c r="C93" s="9" t="s">
        <v>190</v>
      </c>
      <c r="D93" s="9"/>
      <c r="E93" s="18" t="s">
        <v>191</v>
      </c>
      <c r="F93" s="19">
        <v>1100</v>
      </c>
      <c r="G93" s="391">
        <f>'Yr 1 Operating Statement of Act'!G93</f>
        <v>67250</v>
      </c>
      <c r="H93" s="391">
        <f>+(H79+H80)*5%</f>
        <v>74600</v>
      </c>
      <c r="I93" s="391">
        <f t="shared" ref="I93:K93" si="4">+(I79+I80)*5%</f>
        <v>81950</v>
      </c>
      <c r="J93" s="391">
        <f t="shared" si="4"/>
        <v>89300</v>
      </c>
      <c r="K93" s="391">
        <f t="shared" si="4"/>
        <v>96650</v>
      </c>
      <c r="L93" s="456" t="s">
        <v>399</v>
      </c>
    </row>
    <row r="94" spans="1:12" x14ac:dyDescent="0.2">
      <c r="A94" s="219">
        <v>54</v>
      </c>
      <c r="B94" s="36"/>
      <c r="C94" s="9" t="s">
        <v>192</v>
      </c>
      <c r="D94" s="9"/>
      <c r="E94" s="18" t="s">
        <v>193</v>
      </c>
      <c r="F94" s="19" t="s">
        <v>165</v>
      </c>
      <c r="G94" s="391">
        <f>'Yr 1 Operating Statement of Act'!G94</f>
        <v>0</v>
      </c>
      <c r="H94" s="391"/>
      <c r="I94" s="391"/>
      <c r="J94" s="391"/>
      <c r="K94" s="400"/>
      <c r="L94" s="456"/>
    </row>
    <row r="95" spans="1:12" x14ac:dyDescent="0.2">
      <c r="A95" s="219">
        <v>55</v>
      </c>
      <c r="B95" s="36"/>
      <c r="C95" s="9" t="s">
        <v>194</v>
      </c>
      <c r="D95" s="9"/>
      <c r="E95" s="18" t="s">
        <v>195</v>
      </c>
      <c r="F95" s="19" t="s">
        <v>165</v>
      </c>
      <c r="G95" s="391">
        <f>'Yr 1 Operating Statement of Act'!G95</f>
        <v>0</v>
      </c>
      <c r="H95" s="391"/>
      <c r="I95" s="391"/>
      <c r="J95" s="391"/>
      <c r="K95" s="400"/>
      <c r="L95" s="456"/>
    </row>
    <row r="96" spans="1:12" x14ac:dyDescent="0.2">
      <c r="A96" s="219">
        <v>56</v>
      </c>
      <c r="B96" s="36"/>
      <c r="C96" s="85" t="s">
        <v>196</v>
      </c>
      <c r="D96" s="9"/>
      <c r="E96" s="18"/>
      <c r="F96" s="19"/>
      <c r="G96" s="391">
        <f>'Yr 1 Operating Statement of Act'!G96</f>
        <v>0</v>
      </c>
      <c r="H96" s="391"/>
      <c r="I96" s="391"/>
      <c r="J96" s="391"/>
      <c r="K96" s="400"/>
      <c r="L96" s="472"/>
    </row>
    <row r="97" spans="1:12" x14ac:dyDescent="0.2">
      <c r="A97" s="219">
        <v>57</v>
      </c>
      <c r="B97" s="36"/>
      <c r="C97" s="85" t="s">
        <v>197</v>
      </c>
      <c r="D97" s="9"/>
      <c r="E97" s="18"/>
      <c r="F97" s="19"/>
      <c r="G97" s="391">
        <f>'Yr 1 Operating Statement of Act'!G97</f>
        <v>49054.734718406595</v>
      </c>
      <c r="H97" s="391">
        <f>+'Rev &amp; Exp Assumptions'!E26</f>
        <v>51940.3073489011</v>
      </c>
      <c r="I97" s="391">
        <f>+'Rev &amp; Exp Assumptions'!F26</f>
        <v>54825.879979395606</v>
      </c>
      <c r="J97" s="391">
        <f>+'Rev &amp; Exp Assumptions'!G26</f>
        <v>57711.452609890111</v>
      </c>
      <c r="K97" s="391">
        <f>+'Rev &amp; Exp Assumptions'!H26</f>
        <v>60597.025240384617</v>
      </c>
      <c r="L97" s="472" t="s">
        <v>400</v>
      </c>
    </row>
    <row r="98" spans="1:12" x14ac:dyDescent="0.2">
      <c r="A98" s="219">
        <v>58</v>
      </c>
      <c r="B98" s="36"/>
      <c r="C98" s="85"/>
      <c r="D98" s="9"/>
      <c r="E98" s="18"/>
      <c r="F98" s="19"/>
      <c r="G98" s="391">
        <f>'Yr 1 Operating Statement of Act'!G98</f>
        <v>0</v>
      </c>
      <c r="H98" s="391"/>
      <c r="I98" s="391"/>
      <c r="J98" s="391"/>
      <c r="K98" s="400"/>
      <c r="L98" s="472"/>
    </row>
    <row r="99" spans="1:12" x14ac:dyDescent="0.2">
      <c r="A99" s="219">
        <v>59</v>
      </c>
      <c r="E99" s="14"/>
      <c r="F99" s="15"/>
      <c r="G99" s="412">
        <f>'Yr 1 Operating Statement of Act'!G99</f>
        <v>0</v>
      </c>
      <c r="H99" s="412"/>
      <c r="I99" s="412"/>
      <c r="J99" s="412"/>
      <c r="K99" s="413"/>
      <c r="L99" s="485"/>
    </row>
    <row r="100" spans="1:12" ht="15" x14ac:dyDescent="0.25">
      <c r="A100" s="220">
        <v>60</v>
      </c>
      <c r="B100" s="87" t="s">
        <v>198</v>
      </c>
      <c r="C100" s="51"/>
      <c r="D100" s="51"/>
      <c r="E100" s="49"/>
      <c r="F100" s="50"/>
      <c r="G100" s="415">
        <f>SUM(G78:G99)</f>
        <v>1765076.3172939562</v>
      </c>
      <c r="H100" s="415">
        <f>SUM(H79:H99)</f>
        <v>1943268.5727706044</v>
      </c>
      <c r="I100" s="415">
        <f>SUM(I79:I99)</f>
        <v>2122888.9190173075</v>
      </c>
      <c r="J100" s="415">
        <f>SUM(J79:J99)</f>
        <v>2302790.3583490113</v>
      </c>
      <c r="K100" s="402">
        <f>SUM(K79:K99)</f>
        <v>2482986.9454199639</v>
      </c>
      <c r="L100" s="486"/>
    </row>
    <row r="101" spans="1:12" x14ac:dyDescent="0.2">
      <c r="A101" s="219"/>
      <c r="E101" s="14"/>
      <c r="F101" s="15"/>
      <c r="G101" s="412"/>
      <c r="H101" s="412"/>
      <c r="I101" s="412"/>
      <c r="J101" s="412"/>
      <c r="K101" s="413"/>
      <c r="L101" s="485"/>
    </row>
    <row r="102" spans="1:12" s="4" customFormat="1" ht="15" x14ac:dyDescent="0.25">
      <c r="A102" s="221"/>
      <c r="B102" s="90" t="s">
        <v>199</v>
      </c>
      <c r="C102" s="55"/>
      <c r="D102" s="59"/>
      <c r="E102" s="63"/>
      <c r="F102" s="64"/>
      <c r="G102" s="142"/>
      <c r="H102" s="142"/>
      <c r="I102" s="142"/>
      <c r="J102" s="142"/>
      <c r="K102" s="143"/>
      <c r="L102" s="487"/>
    </row>
    <row r="103" spans="1:12" s="4" customFormat="1" ht="15" x14ac:dyDescent="0.25">
      <c r="A103" s="222"/>
      <c r="B103" s="89" t="s">
        <v>200</v>
      </c>
      <c r="C103" s="56"/>
      <c r="D103" s="60"/>
      <c r="E103" s="65"/>
      <c r="F103" s="66"/>
      <c r="G103" s="145"/>
      <c r="H103" s="145"/>
      <c r="I103" s="145"/>
      <c r="J103" s="145"/>
      <c r="K103" s="146"/>
      <c r="L103" s="488"/>
    </row>
    <row r="104" spans="1:12" x14ac:dyDescent="0.2">
      <c r="A104" s="219"/>
      <c r="B104" s="9"/>
      <c r="C104" s="9" t="s">
        <v>160</v>
      </c>
      <c r="E104" s="61"/>
      <c r="F104" s="62"/>
      <c r="G104" s="388"/>
      <c r="H104" s="388"/>
      <c r="I104" s="388"/>
      <c r="J104" s="388"/>
      <c r="K104" s="399"/>
      <c r="L104" s="471"/>
    </row>
    <row r="105" spans="1:12" x14ac:dyDescent="0.2">
      <c r="A105" s="219">
        <v>61</v>
      </c>
      <c r="B105" s="36"/>
      <c r="C105" s="9"/>
      <c r="D105" s="9" t="s">
        <v>161</v>
      </c>
      <c r="E105" s="18" t="s">
        <v>201</v>
      </c>
      <c r="F105" s="19" t="s">
        <v>202</v>
      </c>
      <c r="G105" s="391">
        <f>'Yr 1 Operating Statement of Act'!G105</f>
        <v>185200</v>
      </c>
      <c r="H105" s="391">
        <f>+G105</f>
        <v>185200</v>
      </c>
      <c r="I105" s="391">
        <f t="shared" ref="I105:K107" si="5">+H105</f>
        <v>185200</v>
      </c>
      <c r="J105" s="391">
        <f t="shared" si="5"/>
        <v>185200</v>
      </c>
      <c r="K105" s="391">
        <f t="shared" si="5"/>
        <v>185200</v>
      </c>
      <c r="L105" s="456" t="s">
        <v>401</v>
      </c>
    </row>
    <row r="106" spans="1:12" x14ac:dyDescent="0.2">
      <c r="A106" s="219">
        <v>62</v>
      </c>
      <c r="B106" s="36"/>
      <c r="C106" s="9"/>
      <c r="D106" s="9" t="s">
        <v>203</v>
      </c>
      <c r="E106" s="18" t="s">
        <v>204</v>
      </c>
      <c r="F106" s="19" t="s">
        <v>202</v>
      </c>
      <c r="G106" s="391">
        <f>'Yr 1 Operating Statement of Act'!G106</f>
        <v>0</v>
      </c>
      <c r="H106" s="391"/>
      <c r="I106" s="391"/>
      <c r="J106" s="391"/>
      <c r="K106" s="400"/>
      <c r="L106" s="472"/>
    </row>
    <row r="107" spans="1:12" x14ac:dyDescent="0.2">
      <c r="A107" s="219">
        <v>63</v>
      </c>
      <c r="B107" s="36"/>
      <c r="C107" s="9"/>
      <c r="D107" s="9" t="s">
        <v>163</v>
      </c>
      <c r="E107" s="18" t="s">
        <v>164</v>
      </c>
      <c r="F107" s="19" t="s">
        <v>202</v>
      </c>
      <c r="G107" s="391">
        <f>'Yr 1 Operating Statement of Act'!G107</f>
        <v>132000</v>
      </c>
      <c r="H107" s="391">
        <f>+G107</f>
        <v>132000</v>
      </c>
      <c r="I107" s="391">
        <f t="shared" si="5"/>
        <v>132000</v>
      </c>
      <c r="J107" s="391">
        <f t="shared" si="5"/>
        <v>132000</v>
      </c>
      <c r="K107" s="391">
        <f t="shared" si="5"/>
        <v>132000</v>
      </c>
      <c r="L107" s="456" t="s">
        <v>401</v>
      </c>
    </row>
    <row r="108" spans="1:12" x14ac:dyDescent="0.2">
      <c r="A108" s="219">
        <v>64</v>
      </c>
      <c r="B108" s="36"/>
      <c r="C108" s="9"/>
      <c r="D108" s="9" t="s">
        <v>166</v>
      </c>
      <c r="E108" s="18" t="s">
        <v>167</v>
      </c>
      <c r="F108" s="19" t="s">
        <v>202</v>
      </c>
      <c r="G108" s="391">
        <f>'Yr 1 Operating Statement of Act'!G108</f>
        <v>0</v>
      </c>
      <c r="H108" s="391"/>
      <c r="I108" s="391"/>
      <c r="J108" s="391"/>
      <c r="K108" s="400"/>
      <c r="L108" s="472"/>
    </row>
    <row r="109" spans="1:12" x14ac:dyDescent="0.2">
      <c r="A109" s="219">
        <v>65</v>
      </c>
      <c r="B109" s="36"/>
      <c r="C109" s="9" t="s">
        <v>168</v>
      </c>
      <c r="D109" s="9"/>
      <c r="E109" s="18" t="s">
        <v>169</v>
      </c>
      <c r="F109" s="19" t="s">
        <v>202</v>
      </c>
      <c r="G109" s="391">
        <f>'Yr 1 Operating Statement of Act'!G109</f>
        <v>61829</v>
      </c>
      <c r="H109" s="391">
        <f>+'Rev &amp; Exp Assumptions'!E30</f>
        <v>65465.999999999993</v>
      </c>
      <c r="I109" s="391">
        <f>+'Rev &amp; Exp Assumptions'!F30</f>
        <v>69103</v>
      </c>
      <c r="J109" s="391">
        <f>+'Rev &amp; Exp Assumptions'!G30</f>
        <v>72740</v>
      </c>
      <c r="K109" s="391">
        <f>+'Rev &amp; Exp Assumptions'!H30</f>
        <v>76377</v>
      </c>
      <c r="L109" s="472" t="s">
        <v>400</v>
      </c>
    </row>
    <row r="110" spans="1:12" x14ac:dyDescent="0.2">
      <c r="A110" s="219">
        <v>66</v>
      </c>
      <c r="B110" s="36"/>
      <c r="C110" s="9" t="s">
        <v>171</v>
      </c>
      <c r="D110" s="9"/>
      <c r="E110" s="18">
        <v>430</v>
      </c>
      <c r="F110" s="19">
        <v>1210</v>
      </c>
      <c r="G110" s="391">
        <f>'Yr 1 Operating Statement of Act'!G110</f>
        <v>0</v>
      </c>
      <c r="H110" s="391"/>
      <c r="I110" s="391"/>
      <c r="J110" s="391"/>
      <c r="K110" s="400"/>
      <c r="L110" s="472"/>
    </row>
    <row r="111" spans="1:12" x14ac:dyDescent="0.2">
      <c r="A111" s="219">
        <v>67</v>
      </c>
      <c r="B111" s="36"/>
      <c r="C111" s="9" t="s">
        <v>173</v>
      </c>
      <c r="D111" s="9"/>
      <c r="E111" s="18" t="s">
        <v>174</v>
      </c>
      <c r="F111" s="19" t="s">
        <v>202</v>
      </c>
      <c r="G111" s="391">
        <f>'Yr 1 Operating Statement of Act'!G111</f>
        <v>0</v>
      </c>
      <c r="H111" s="391"/>
      <c r="I111" s="391"/>
      <c r="J111" s="391"/>
      <c r="K111" s="400"/>
      <c r="L111" s="472"/>
    </row>
    <row r="112" spans="1:12" x14ac:dyDescent="0.2">
      <c r="A112" s="219"/>
      <c r="B112" s="36"/>
      <c r="C112" s="9" t="s">
        <v>206</v>
      </c>
      <c r="D112" s="9"/>
      <c r="E112" s="61"/>
      <c r="F112" s="62"/>
      <c r="G112" s="388"/>
      <c r="H112" s="388"/>
      <c r="I112" s="388"/>
      <c r="J112" s="388"/>
      <c r="K112" s="399"/>
      <c r="L112" s="471"/>
    </row>
    <row r="113" spans="1:12" x14ac:dyDescent="0.2">
      <c r="A113" s="219">
        <v>68</v>
      </c>
      <c r="B113" s="36"/>
      <c r="C113" s="9"/>
      <c r="D113" s="9" t="s">
        <v>207</v>
      </c>
      <c r="E113" s="18" t="s">
        <v>177</v>
      </c>
      <c r="F113" s="19" t="s">
        <v>202</v>
      </c>
      <c r="G113" s="391">
        <f>'Yr 1 Operating Statement of Act'!G113</f>
        <v>0</v>
      </c>
      <c r="H113" s="391"/>
      <c r="I113" s="391"/>
      <c r="J113" s="391"/>
      <c r="K113" s="400"/>
      <c r="L113" s="456"/>
    </row>
    <row r="114" spans="1:12" x14ac:dyDescent="0.2">
      <c r="A114" s="219">
        <v>69</v>
      </c>
      <c r="B114" s="36"/>
      <c r="C114" s="9"/>
      <c r="D114" s="9" t="s">
        <v>178</v>
      </c>
      <c r="E114" s="18" t="s">
        <v>179</v>
      </c>
      <c r="F114" s="19" t="s">
        <v>202</v>
      </c>
      <c r="G114" s="391">
        <f>'Yr 1 Operating Statement of Act'!G114</f>
        <v>0</v>
      </c>
      <c r="H114" s="391"/>
      <c r="I114" s="391"/>
      <c r="J114" s="391"/>
      <c r="K114" s="400"/>
      <c r="L114" s="472"/>
    </row>
    <row r="115" spans="1:12" x14ac:dyDescent="0.2">
      <c r="A115" s="219">
        <v>70</v>
      </c>
      <c r="B115" s="36"/>
      <c r="C115" s="9" t="s">
        <v>180</v>
      </c>
      <c r="D115" s="9"/>
      <c r="E115" s="18" t="s">
        <v>181</v>
      </c>
      <c r="F115" s="19" t="s">
        <v>202</v>
      </c>
      <c r="G115" s="391">
        <f>'Yr 1 Operating Statement of Act'!G115</f>
        <v>0</v>
      </c>
      <c r="H115" s="391"/>
      <c r="I115" s="391"/>
      <c r="J115" s="391"/>
      <c r="K115" s="400"/>
      <c r="L115" s="472"/>
    </row>
    <row r="116" spans="1:12" x14ac:dyDescent="0.2">
      <c r="A116" s="219">
        <v>71</v>
      </c>
      <c r="B116" s="36"/>
      <c r="C116" s="9" t="s">
        <v>182</v>
      </c>
      <c r="D116" s="9"/>
      <c r="E116" s="18" t="s">
        <v>183</v>
      </c>
      <c r="F116" s="19" t="s">
        <v>202</v>
      </c>
      <c r="G116" s="391">
        <f>'Yr 1 Operating Statement of Act'!G116</f>
        <v>0</v>
      </c>
      <c r="H116" s="391"/>
      <c r="I116" s="391"/>
      <c r="J116" s="391"/>
      <c r="K116" s="400"/>
      <c r="L116" s="472"/>
    </row>
    <row r="117" spans="1:12" x14ac:dyDescent="0.2">
      <c r="A117" s="219">
        <v>72</v>
      </c>
      <c r="B117" s="36"/>
      <c r="C117" s="9" t="s">
        <v>184</v>
      </c>
      <c r="D117" s="9"/>
      <c r="E117" s="18" t="s">
        <v>185</v>
      </c>
      <c r="F117" s="19" t="s">
        <v>208</v>
      </c>
      <c r="G117" s="391">
        <f>'Yr 1 Operating Statement of Act'!G117</f>
        <v>29540.16</v>
      </c>
      <c r="H117" s="391">
        <f>+G117*1.05</f>
        <v>31017.168000000001</v>
      </c>
      <c r="I117" s="391">
        <f t="shared" ref="I117:K117" si="6">+H117*1.05</f>
        <v>32568.026400000002</v>
      </c>
      <c r="J117" s="391">
        <f t="shared" si="6"/>
        <v>34196.427720000007</v>
      </c>
      <c r="K117" s="391">
        <f t="shared" si="6"/>
        <v>35906.24910600001</v>
      </c>
      <c r="L117" s="456" t="s">
        <v>396</v>
      </c>
    </row>
    <row r="118" spans="1:12" x14ac:dyDescent="0.2">
      <c r="A118" s="219">
        <v>73</v>
      </c>
      <c r="B118" s="36"/>
      <c r="C118" s="9" t="s">
        <v>186</v>
      </c>
      <c r="D118" s="9"/>
      <c r="E118" s="18" t="s">
        <v>187</v>
      </c>
      <c r="F118" s="19" t="s">
        <v>208</v>
      </c>
      <c r="G118" s="391">
        <f>'Yr 1 Operating Statement of Act'!G118</f>
        <v>19666.400000000001</v>
      </c>
      <c r="H118" s="391">
        <f>(H105+H107)*6.2%</f>
        <v>19666.400000000001</v>
      </c>
      <c r="I118" s="391">
        <f t="shared" ref="I118:K118" si="7">(I105+I107)*6.2%</f>
        <v>19666.400000000001</v>
      </c>
      <c r="J118" s="391">
        <f t="shared" si="7"/>
        <v>19666.400000000001</v>
      </c>
      <c r="K118" s="391">
        <f t="shared" si="7"/>
        <v>19666.400000000001</v>
      </c>
      <c r="L118" s="472" t="s">
        <v>397</v>
      </c>
    </row>
    <row r="119" spans="1:12" x14ac:dyDescent="0.2">
      <c r="A119" s="219">
        <v>74</v>
      </c>
      <c r="B119" s="36"/>
      <c r="C119" s="9" t="s">
        <v>188</v>
      </c>
      <c r="D119" s="9"/>
      <c r="E119" s="18" t="s">
        <v>189</v>
      </c>
      <c r="F119" s="19" t="s">
        <v>208</v>
      </c>
      <c r="G119" s="391">
        <f>'Yr 1 Operating Statement of Act'!G119</f>
        <v>4599.3999999999996</v>
      </c>
      <c r="H119" s="391">
        <f>(H105+H107)*1.45%</f>
        <v>4599.3999999999996</v>
      </c>
      <c r="I119" s="391">
        <f t="shared" ref="I119:K119" si="8">(I105+I107)*1.45%</f>
        <v>4599.3999999999996</v>
      </c>
      <c r="J119" s="391">
        <f t="shared" si="8"/>
        <v>4599.3999999999996</v>
      </c>
      <c r="K119" s="391">
        <f t="shared" si="8"/>
        <v>4599.3999999999996</v>
      </c>
      <c r="L119" s="456" t="s">
        <v>398</v>
      </c>
    </row>
    <row r="120" spans="1:12" x14ac:dyDescent="0.2">
      <c r="A120" s="219">
        <v>75</v>
      </c>
      <c r="B120" s="36"/>
      <c r="C120" s="9" t="s">
        <v>190</v>
      </c>
      <c r="D120" s="9"/>
      <c r="E120" s="18" t="s">
        <v>191</v>
      </c>
      <c r="F120" s="19">
        <v>1200</v>
      </c>
      <c r="G120" s="391">
        <f>'Yr 1 Operating Statement of Act'!G120</f>
        <v>15860</v>
      </c>
      <c r="H120" s="391">
        <f>+(H105+H107)*5%</f>
        <v>15860</v>
      </c>
      <c r="I120" s="391">
        <f t="shared" ref="I120:K120" si="9">+(I105+I107)*5%</f>
        <v>15860</v>
      </c>
      <c r="J120" s="391">
        <f t="shared" si="9"/>
        <v>15860</v>
      </c>
      <c r="K120" s="391">
        <f t="shared" si="9"/>
        <v>15860</v>
      </c>
      <c r="L120" s="456" t="s">
        <v>399</v>
      </c>
    </row>
    <row r="121" spans="1:12" x14ac:dyDescent="0.2">
      <c r="A121" s="219">
        <v>76</v>
      </c>
      <c r="B121" s="36"/>
      <c r="C121" s="9" t="s">
        <v>192</v>
      </c>
      <c r="D121" s="9"/>
      <c r="E121" s="18" t="s">
        <v>193</v>
      </c>
      <c r="F121" s="19" t="s">
        <v>208</v>
      </c>
      <c r="G121" s="391">
        <f>'Yr 1 Operating Statement of Act'!G121</f>
        <v>0</v>
      </c>
      <c r="H121" s="391"/>
      <c r="I121" s="391"/>
      <c r="J121" s="391"/>
      <c r="K121" s="400"/>
      <c r="L121" s="456"/>
    </row>
    <row r="122" spans="1:12" x14ac:dyDescent="0.2">
      <c r="A122" s="219">
        <v>77</v>
      </c>
      <c r="B122" s="36"/>
      <c r="C122" s="9" t="s">
        <v>194</v>
      </c>
      <c r="D122" s="9"/>
      <c r="E122" s="18" t="s">
        <v>195</v>
      </c>
      <c r="F122" s="19" t="s">
        <v>208</v>
      </c>
      <c r="G122" s="391">
        <f>'Yr 1 Operating Statement of Act'!G122</f>
        <v>0</v>
      </c>
      <c r="H122" s="391"/>
      <c r="I122" s="391"/>
      <c r="J122" s="391"/>
      <c r="K122" s="400"/>
      <c r="L122" s="456"/>
    </row>
    <row r="123" spans="1:12" x14ac:dyDescent="0.2">
      <c r="A123" s="219">
        <v>78</v>
      </c>
      <c r="B123" s="36"/>
      <c r="C123" s="85" t="s">
        <v>196</v>
      </c>
      <c r="D123" s="9"/>
      <c r="E123" s="18"/>
      <c r="F123" s="19"/>
      <c r="G123" s="391">
        <f>'Yr 1 Operating Statement of Act'!G123</f>
        <v>0</v>
      </c>
      <c r="H123" s="391"/>
      <c r="I123" s="391"/>
      <c r="J123" s="391"/>
      <c r="K123" s="400"/>
      <c r="L123" s="472"/>
    </row>
    <row r="124" spans="1:12" x14ac:dyDescent="0.2">
      <c r="A124" s="219">
        <v>79</v>
      </c>
      <c r="B124" s="36"/>
      <c r="C124" s="85"/>
      <c r="D124" s="9"/>
      <c r="E124" s="18"/>
      <c r="F124" s="19"/>
      <c r="G124" s="391">
        <f>'Yr 1 Operating Statement of Act'!G124</f>
        <v>0</v>
      </c>
      <c r="H124" s="391"/>
      <c r="I124" s="391"/>
      <c r="J124" s="391"/>
      <c r="K124" s="400"/>
      <c r="L124" s="472"/>
    </row>
    <row r="125" spans="1:12" x14ac:dyDescent="0.2">
      <c r="A125" s="219">
        <v>80</v>
      </c>
      <c r="B125" s="36"/>
      <c r="C125" s="85"/>
      <c r="D125" s="9"/>
      <c r="E125" s="18"/>
      <c r="F125" s="19"/>
      <c r="G125" s="391">
        <f>'Yr 1 Operating Statement of Act'!G125</f>
        <v>0</v>
      </c>
      <c r="H125" s="391"/>
      <c r="I125" s="391"/>
      <c r="J125" s="391"/>
      <c r="K125" s="400"/>
      <c r="L125" s="472"/>
    </row>
    <row r="126" spans="1:12" x14ac:dyDescent="0.2">
      <c r="A126" s="219">
        <v>81</v>
      </c>
      <c r="C126" s="2"/>
      <c r="E126" s="14"/>
      <c r="F126" s="15"/>
      <c r="G126" s="394">
        <f>'Yr 1 Operating Statement of Act'!G126</f>
        <v>0</v>
      </c>
      <c r="H126" s="394"/>
      <c r="I126" s="394"/>
      <c r="J126" s="394"/>
      <c r="K126" s="401"/>
      <c r="L126" s="485"/>
    </row>
    <row r="127" spans="1:12" ht="15" x14ac:dyDescent="0.25">
      <c r="A127" s="220">
        <v>82</v>
      </c>
      <c r="B127" s="87" t="s">
        <v>209</v>
      </c>
      <c r="C127" s="51"/>
      <c r="D127" s="51"/>
      <c r="E127" s="49"/>
      <c r="F127" s="50"/>
      <c r="G127" s="415">
        <f>SUM(G104:G126)</f>
        <v>448694.96</v>
      </c>
      <c r="H127" s="415">
        <f>SUM(H105:H126)</f>
        <v>453808.96800000005</v>
      </c>
      <c r="I127" s="415">
        <f>SUM(I105:I126)</f>
        <v>458996.82640000002</v>
      </c>
      <c r="J127" s="415">
        <f>SUM(J105:J126)</f>
        <v>464262.22772000008</v>
      </c>
      <c r="K127" s="402">
        <f>SUM(K105:K126)</f>
        <v>469609.04910600005</v>
      </c>
      <c r="L127" s="486"/>
    </row>
    <row r="128" spans="1:12" x14ac:dyDescent="0.2">
      <c r="A128" s="219"/>
      <c r="E128" s="14"/>
      <c r="F128" s="15"/>
      <c r="G128" s="412"/>
      <c r="H128" s="412"/>
      <c r="I128" s="412"/>
      <c r="J128" s="412"/>
      <c r="K128" s="413"/>
      <c r="L128" s="485"/>
    </row>
    <row r="129" spans="1:12" x14ac:dyDescent="0.2">
      <c r="A129" s="217"/>
      <c r="B129" s="111" t="s">
        <v>210</v>
      </c>
      <c r="C129" s="112"/>
      <c r="D129" s="113"/>
      <c r="E129" s="61"/>
      <c r="F129" s="62"/>
      <c r="G129" s="388"/>
      <c r="H129" s="388"/>
      <c r="I129" s="388"/>
      <c r="J129" s="388"/>
      <c r="K129" s="399"/>
      <c r="L129" s="471"/>
    </row>
    <row r="130" spans="1:12" s="4" customFormat="1" ht="14.25" customHeight="1" x14ac:dyDescent="0.25">
      <c r="A130" s="222"/>
      <c r="B130" s="89" t="s">
        <v>211</v>
      </c>
      <c r="C130" s="110"/>
      <c r="D130" s="110"/>
      <c r="E130" s="77"/>
      <c r="F130" s="78"/>
      <c r="G130" s="148"/>
      <c r="H130" s="148"/>
      <c r="I130" s="148"/>
      <c r="J130" s="148"/>
      <c r="K130" s="149"/>
      <c r="L130" s="489"/>
    </row>
    <row r="131" spans="1:12" s="4" customFormat="1" ht="13.5" customHeight="1" x14ac:dyDescent="0.25">
      <c r="A131" s="219"/>
      <c r="B131" s="79"/>
      <c r="C131" s="9" t="s">
        <v>160</v>
      </c>
      <c r="E131" s="61"/>
      <c r="F131" s="62"/>
      <c r="G131" s="148"/>
      <c r="H131" s="148"/>
      <c r="I131" s="148"/>
      <c r="J131" s="148"/>
      <c r="K131" s="149"/>
      <c r="L131" s="471"/>
    </row>
    <row r="132" spans="1:12" x14ac:dyDescent="0.2">
      <c r="A132" s="219">
        <v>83</v>
      </c>
      <c r="B132" s="36"/>
      <c r="C132" s="9"/>
      <c r="D132" s="9" t="s">
        <v>161</v>
      </c>
      <c r="E132" s="18">
        <v>112</v>
      </c>
      <c r="F132" s="19" t="s">
        <v>212</v>
      </c>
      <c r="G132" s="391">
        <f>'Yr 1 Operating Statement of Act'!G132</f>
        <v>0</v>
      </c>
      <c r="H132" s="391"/>
      <c r="I132" s="391"/>
      <c r="J132" s="391"/>
      <c r="K132" s="400"/>
      <c r="L132" s="456"/>
    </row>
    <row r="133" spans="1:12" x14ac:dyDescent="0.2">
      <c r="A133" s="219">
        <v>84</v>
      </c>
      <c r="B133" s="36"/>
      <c r="C133" s="9"/>
      <c r="D133" s="9" t="s">
        <v>163</v>
      </c>
      <c r="E133" s="18">
        <v>115</v>
      </c>
      <c r="F133" s="19" t="s">
        <v>212</v>
      </c>
      <c r="G133" s="391">
        <f>'Yr 1 Operating Statement of Act'!G133</f>
        <v>0</v>
      </c>
      <c r="H133" s="391"/>
      <c r="I133" s="391"/>
      <c r="J133" s="391"/>
      <c r="K133" s="400"/>
      <c r="L133" s="456"/>
    </row>
    <row r="134" spans="1:12" x14ac:dyDescent="0.2">
      <c r="A134" s="219">
        <v>85</v>
      </c>
      <c r="B134" s="36"/>
      <c r="C134" s="9"/>
      <c r="D134" s="9" t="s">
        <v>166</v>
      </c>
      <c r="E134" s="18">
        <v>123</v>
      </c>
      <c r="F134" s="19" t="s">
        <v>212</v>
      </c>
      <c r="G134" s="391">
        <f>'Yr 1 Operating Statement of Act'!G134</f>
        <v>0</v>
      </c>
      <c r="H134" s="391"/>
      <c r="I134" s="391"/>
      <c r="J134" s="391"/>
      <c r="K134" s="400"/>
      <c r="L134" s="472"/>
    </row>
    <row r="135" spans="1:12" x14ac:dyDescent="0.2">
      <c r="A135" s="219">
        <v>86</v>
      </c>
      <c r="B135" s="36"/>
      <c r="C135" s="9" t="s">
        <v>168</v>
      </c>
      <c r="D135" s="9"/>
      <c r="E135" s="18" t="s">
        <v>169</v>
      </c>
      <c r="F135" s="19" t="s">
        <v>212</v>
      </c>
      <c r="G135" s="391">
        <f>'Yr 1 Operating Statement of Act'!G135</f>
        <v>0</v>
      </c>
      <c r="H135" s="391"/>
      <c r="I135" s="391"/>
      <c r="J135" s="391"/>
      <c r="K135" s="400"/>
      <c r="L135" s="472"/>
    </row>
    <row r="136" spans="1:12" x14ac:dyDescent="0.2">
      <c r="A136" s="219">
        <v>87</v>
      </c>
      <c r="B136" s="36"/>
      <c r="C136" s="9" t="s">
        <v>171</v>
      </c>
      <c r="D136" s="9"/>
      <c r="E136" s="18">
        <v>430</v>
      </c>
      <c r="F136" s="19" t="s">
        <v>212</v>
      </c>
      <c r="G136" s="391">
        <f>'Yr 1 Operating Statement of Act'!G136</f>
        <v>0</v>
      </c>
      <c r="H136" s="391"/>
      <c r="I136" s="391"/>
      <c r="J136" s="391"/>
      <c r="K136" s="400"/>
      <c r="L136" s="472"/>
    </row>
    <row r="137" spans="1:12" x14ac:dyDescent="0.2">
      <c r="A137" s="219">
        <v>88</v>
      </c>
      <c r="B137" s="36"/>
      <c r="C137" s="9" t="s">
        <v>173</v>
      </c>
      <c r="D137" s="9"/>
      <c r="E137" s="18" t="s">
        <v>174</v>
      </c>
      <c r="F137" s="19" t="s">
        <v>212</v>
      </c>
      <c r="G137" s="391">
        <f>'Yr 1 Operating Statement of Act'!G137</f>
        <v>0</v>
      </c>
      <c r="H137" s="391"/>
      <c r="I137" s="391"/>
      <c r="J137" s="391"/>
      <c r="K137" s="400"/>
      <c r="L137" s="472"/>
    </row>
    <row r="138" spans="1:12" x14ac:dyDescent="0.2">
      <c r="A138" s="219"/>
      <c r="B138" s="36"/>
      <c r="C138" s="9" t="s">
        <v>206</v>
      </c>
      <c r="D138" s="9"/>
      <c r="E138" s="61"/>
      <c r="F138" s="62"/>
      <c r="G138" s="388"/>
      <c r="H138" s="388"/>
      <c r="I138" s="388"/>
      <c r="J138" s="388"/>
      <c r="K138" s="399"/>
      <c r="L138" s="471"/>
    </row>
    <row r="139" spans="1:12" x14ac:dyDescent="0.2">
      <c r="A139" s="219">
        <v>89</v>
      </c>
      <c r="B139" s="36"/>
      <c r="C139" s="9"/>
      <c r="D139" s="9" t="s">
        <v>207</v>
      </c>
      <c r="E139" s="18" t="s">
        <v>177</v>
      </c>
      <c r="F139" s="19" t="s">
        <v>212</v>
      </c>
      <c r="G139" s="391">
        <f>'Yr 1 Operating Statement of Act'!G139</f>
        <v>0</v>
      </c>
      <c r="H139" s="391"/>
      <c r="I139" s="391"/>
      <c r="J139" s="391"/>
      <c r="K139" s="400"/>
      <c r="L139" s="456"/>
    </row>
    <row r="140" spans="1:12" x14ac:dyDescent="0.2">
      <c r="A140" s="219">
        <v>90</v>
      </c>
      <c r="B140" s="36"/>
      <c r="C140" s="9"/>
      <c r="D140" s="9" t="s">
        <v>178</v>
      </c>
      <c r="E140" s="18" t="s">
        <v>179</v>
      </c>
      <c r="F140" s="19" t="s">
        <v>212</v>
      </c>
      <c r="G140" s="391">
        <f>'Yr 1 Operating Statement of Act'!G140</f>
        <v>0</v>
      </c>
      <c r="H140" s="391"/>
      <c r="I140" s="391"/>
      <c r="J140" s="391"/>
      <c r="K140" s="400"/>
      <c r="L140" s="472"/>
    </row>
    <row r="141" spans="1:12" x14ac:dyDescent="0.2">
      <c r="A141" s="219">
        <v>91</v>
      </c>
      <c r="B141" s="36"/>
      <c r="C141" s="9" t="s">
        <v>213</v>
      </c>
      <c r="D141" s="9"/>
      <c r="E141" s="18" t="s">
        <v>214</v>
      </c>
      <c r="F141" s="19" t="s">
        <v>212</v>
      </c>
      <c r="G141" s="391">
        <f>'Yr 1 Operating Statement of Act'!G141</f>
        <v>0</v>
      </c>
      <c r="H141" s="391"/>
      <c r="I141" s="391"/>
      <c r="J141" s="391"/>
      <c r="K141" s="400"/>
      <c r="L141" s="472"/>
    </row>
    <row r="142" spans="1:12" x14ac:dyDescent="0.2">
      <c r="A142" s="219">
        <v>92</v>
      </c>
      <c r="B142" s="36"/>
      <c r="C142" s="9" t="s">
        <v>182</v>
      </c>
      <c r="D142" s="9"/>
      <c r="E142" s="18" t="s">
        <v>183</v>
      </c>
      <c r="F142" s="19" t="s">
        <v>212</v>
      </c>
      <c r="G142" s="391">
        <f>'Yr 1 Operating Statement of Act'!G142</f>
        <v>0</v>
      </c>
      <c r="H142" s="391"/>
      <c r="I142" s="391"/>
      <c r="J142" s="391"/>
      <c r="K142" s="400"/>
      <c r="L142" s="472"/>
    </row>
    <row r="143" spans="1:12" x14ac:dyDescent="0.2">
      <c r="A143" s="219">
        <v>93</v>
      </c>
      <c r="B143" s="36"/>
      <c r="C143" s="9" t="s">
        <v>184</v>
      </c>
      <c r="D143" s="9"/>
      <c r="E143" s="18" t="s">
        <v>185</v>
      </c>
      <c r="F143" s="19" t="s">
        <v>212</v>
      </c>
      <c r="G143" s="391">
        <f>'Yr 1 Operating Statement of Act'!G143</f>
        <v>0</v>
      </c>
      <c r="H143" s="391"/>
      <c r="I143" s="391"/>
      <c r="J143" s="391"/>
      <c r="K143" s="400"/>
      <c r="L143" s="456"/>
    </row>
    <row r="144" spans="1:12" x14ac:dyDescent="0.2">
      <c r="A144" s="219">
        <v>94</v>
      </c>
      <c r="B144" s="36"/>
      <c r="C144" s="9" t="s">
        <v>186</v>
      </c>
      <c r="D144" s="9"/>
      <c r="E144" s="18" t="s">
        <v>187</v>
      </c>
      <c r="F144" s="19" t="s">
        <v>212</v>
      </c>
      <c r="G144" s="391">
        <f>'Yr 1 Operating Statement of Act'!G144</f>
        <v>0</v>
      </c>
      <c r="H144" s="391"/>
      <c r="I144" s="391"/>
      <c r="J144" s="391"/>
      <c r="K144" s="400"/>
      <c r="L144" s="472"/>
    </row>
    <row r="145" spans="1:12" x14ac:dyDescent="0.2">
      <c r="A145" s="219">
        <v>95</v>
      </c>
      <c r="B145" s="36"/>
      <c r="C145" s="9" t="s">
        <v>188</v>
      </c>
      <c r="D145" s="9"/>
      <c r="E145" s="18" t="s">
        <v>189</v>
      </c>
      <c r="F145" s="19" t="s">
        <v>212</v>
      </c>
      <c r="G145" s="391">
        <f>'Yr 1 Operating Statement of Act'!G145</f>
        <v>0</v>
      </c>
      <c r="H145" s="391"/>
      <c r="I145" s="391"/>
      <c r="J145" s="391"/>
      <c r="K145" s="400"/>
      <c r="L145" s="456"/>
    </row>
    <row r="146" spans="1:12" x14ac:dyDescent="0.2">
      <c r="A146" s="219">
        <v>96</v>
      </c>
      <c r="B146" s="36"/>
      <c r="C146" s="9" t="s">
        <v>190</v>
      </c>
      <c r="D146" s="9"/>
      <c r="E146" s="18" t="s">
        <v>191</v>
      </c>
      <c r="F146" s="19" t="s">
        <v>212</v>
      </c>
      <c r="G146" s="391">
        <f>'Yr 1 Operating Statement of Act'!G146</f>
        <v>0</v>
      </c>
      <c r="H146" s="391"/>
      <c r="I146" s="391"/>
      <c r="J146" s="391"/>
      <c r="K146" s="400"/>
      <c r="L146" s="456"/>
    </row>
    <row r="147" spans="1:12" x14ac:dyDescent="0.2">
      <c r="A147" s="219">
        <v>97</v>
      </c>
      <c r="B147" s="36"/>
      <c r="C147" s="9" t="s">
        <v>192</v>
      </c>
      <c r="D147" s="9"/>
      <c r="E147" s="18" t="s">
        <v>193</v>
      </c>
      <c r="F147" s="19" t="s">
        <v>212</v>
      </c>
      <c r="G147" s="391">
        <f>'Yr 1 Operating Statement of Act'!G147</f>
        <v>0</v>
      </c>
      <c r="H147" s="391"/>
      <c r="I147" s="391"/>
      <c r="J147" s="391"/>
      <c r="K147" s="400"/>
      <c r="L147" s="456"/>
    </row>
    <row r="148" spans="1:12" x14ac:dyDescent="0.2">
      <c r="A148" s="219">
        <v>98</v>
      </c>
      <c r="B148" s="36"/>
      <c r="C148" s="9" t="s">
        <v>194</v>
      </c>
      <c r="D148" s="9"/>
      <c r="E148" s="18" t="s">
        <v>195</v>
      </c>
      <c r="F148" s="19" t="s">
        <v>212</v>
      </c>
      <c r="G148" s="391">
        <f>'Yr 1 Operating Statement of Act'!G148</f>
        <v>0</v>
      </c>
      <c r="H148" s="391"/>
      <c r="I148" s="391"/>
      <c r="J148" s="391"/>
      <c r="K148" s="400"/>
      <c r="L148" s="456"/>
    </row>
    <row r="149" spans="1:12" x14ac:dyDescent="0.2">
      <c r="A149" s="219">
        <v>99</v>
      </c>
      <c r="B149" s="36"/>
      <c r="C149" s="85" t="s">
        <v>196</v>
      </c>
      <c r="D149" s="9"/>
      <c r="E149" s="18"/>
      <c r="F149" s="19"/>
      <c r="G149" s="391">
        <f>'Yr 1 Operating Statement of Act'!G149</f>
        <v>0</v>
      </c>
      <c r="H149" s="391"/>
      <c r="I149" s="391"/>
      <c r="J149" s="391"/>
      <c r="K149" s="400"/>
      <c r="L149" s="472"/>
    </row>
    <row r="150" spans="1:12" x14ac:dyDescent="0.2">
      <c r="A150" s="219">
        <v>100</v>
      </c>
      <c r="B150" s="36"/>
      <c r="C150" s="85"/>
      <c r="D150" s="9"/>
      <c r="E150" s="18"/>
      <c r="F150" s="19"/>
      <c r="G150" s="391">
        <f>'Yr 1 Operating Statement of Act'!G150</f>
        <v>0</v>
      </c>
      <c r="H150" s="391"/>
      <c r="I150" s="391"/>
      <c r="J150" s="391"/>
      <c r="K150" s="400"/>
      <c r="L150" s="472"/>
    </row>
    <row r="151" spans="1:12" x14ac:dyDescent="0.2">
      <c r="A151" s="219">
        <v>101</v>
      </c>
      <c r="B151" s="36"/>
      <c r="C151" s="85"/>
      <c r="D151" s="9"/>
      <c r="E151" s="18"/>
      <c r="F151" s="19"/>
      <c r="G151" s="391">
        <f>'Yr 1 Operating Statement of Act'!G151</f>
        <v>0</v>
      </c>
      <c r="H151" s="391"/>
      <c r="I151" s="391"/>
      <c r="J151" s="391"/>
      <c r="K151" s="400"/>
      <c r="L151" s="472"/>
    </row>
    <row r="152" spans="1:12" ht="15.75" customHeight="1" x14ac:dyDescent="0.2">
      <c r="A152" s="219">
        <v>102</v>
      </c>
      <c r="B152" s="83"/>
      <c r="E152" s="14"/>
      <c r="F152" s="15"/>
      <c r="G152" s="412">
        <f>'Yr 1 Operating Statement of Act'!G152</f>
        <v>0</v>
      </c>
      <c r="H152" s="412"/>
      <c r="I152" s="412"/>
      <c r="J152" s="412"/>
      <c r="K152" s="413"/>
      <c r="L152" s="485"/>
    </row>
    <row r="153" spans="1:12" ht="15.75" thickBot="1" x14ac:dyDescent="0.3">
      <c r="A153" s="220">
        <v>103</v>
      </c>
      <c r="B153" s="87" t="s">
        <v>215</v>
      </c>
      <c r="C153" s="51"/>
      <c r="D153" s="51"/>
      <c r="E153" s="49"/>
      <c r="F153" s="50"/>
      <c r="G153" s="415">
        <f>SUM(G131:G152)</f>
        <v>0</v>
      </c>
      <c r="H153" s="415">
        <f>SUM(H132:H152)</f>
        <v>0</v>
      </c>
      <c r="I153" s="415">
        <f>SUM(I132:I152)</f>
        <v>0</v>
      </c>
      <c r="J153" s="415">
        <f>SUM(J132:J152)</f>
        <v>0</v>
      </c>
      <c r="K153" s="402">
        <f>SUM(K132:K152)</f>
        <v>0</v>
      </c>
      <c r="L153" s="486"/>
    </row>
    <row r="154" spans="1:12" ht="15.75" thickBot="1" x14ac:dyDescent="0.3">
      <c r="A154" s="223">
        <v>104</v>
      </c>
      <c r="B154" s="75" t="s">
        <v>216</v>
      </c>
      <c r="C154" s="76"/>
      <c r="D154" s="76"/>
      <c r="E154" s="45"/>
      <c r="F154" s="46"/>
      <c r="G154" s="416">
        <f>+G100+G127+G153</f>
        <v>2213771.2772939564</v>
      </c>
      <c r="H154" s="416">
        <f>H100+H127+H153</f>
        <v>2397077.5407706043</v>
      </c>
      <c r="I154" s="416">
        <f>I100+I127+I153</f>
        <v>2581885.7454173076</v>
      </c>
      <c r="J154" s="416">
        <f>J100+J127+J153</f>
        <v>2767052.5860690111</v>
      </c>
      <c r="K154" s="409">
        <f>K100+K127+K153</f>
        <v>2952595.9945259639</v>
      </c>
      <c r="L154" s="490"/>
    </row>
    <row r="155" spans="1:12" ht="4.5" customHeight="1" x14ac:dyDescent="0.2">
      <c r="A155" s="224"/>
      <c r="B155" s="35"/>
      <c r="C155" s="12"/>
      <c r="D155" s="12"/>
      <c r="E155" s="16"/>
      <c r="F155" s="17"/>
      <c r="G155" s="417"/>
      <c r="H155" s="417"/>
      <c r="I155" s="417"/>
      <c r="J155" s="417"/>
      <c r="K155" s="418"/>
      <c r="L155" s="491"/>
    </row>
    <row r="156" spans="1:12" s="4" customFormat="1" ht="15" x14ac:dyDescent="0.25">
      <c r="A156" s="219"/>
      <c r="B156" s="52" t="s">
        <v>217</v>
      </c>
      <c r="C156" s="53"/>
      <c r="D156" s="53"/>
      <c r="E156" s="61"/>
      <c r="F156" s="62"/>
      <c r="G156" s="388"/>
      <c r="H156" s="388"/>
      <c r="I156" s="388"/>
      <c r="J156" s="388"/>
      <c r="K156" s="399"/>
      <c r="L156" s="471"/>
    </row>
    <row r="157" spans="1:12" s="4" customFormat="1" ht="15" x14ac:dyDescent="0.25">
      <c r="A157" s="219"/>
      <c r="B157" s="88" t="s">
        <v>218</v>
      </c>
      <c r="C157" s="53"/>
      <c r="D157" s="53"/>
      <c r="E157" s="61"/>
      <c r="F157" s="62"/>
      <c r="G157" s="388"/>
      <c r="H157" s="388"/>
      <c r="I157" s="388"/>
      <c r="J157" s="388"/>
      <c r="K157" s="399"/>
      <c r="L157" s="471"/>
    </row>
    <row r="158" spans="1:12" x14ac:dyDescent="0.2">
      <c r="A158" s="219">
        <v>105</v>
      </c>
      <c r="B158" s="36"/>
      <c r="C158" s="9" t="s">
        <v>219</v>
      </c>
      <c r="D158" s="9"/>
      <c r="E158" s="18" t="s">
        <v>212</v>
      </c>
      <c r="F158" s="19" t="s">
        <v>220</v>
      </c>
      <c r="G158" s="391">
        <f>'Yr 1 Operating Statement of Act'!G158</f>
        <v>40000</v>
      </c>
      <c r="H158" s="391">
        <f>+G158</f>
        <v>40000</v>
      </c>
      <c r="I158" s="391">
        <f t="shared" ref="I158:K160" si="10">+H158</f>
        <v>40000</v>
      </c>
      <c r="J158" s="391">
        <f t="shared" si="10"/>
        <v>40000</v>
      </c>
      <c r="K158" s="391">
        <f t="shared" si="10"/>
        <v>40000</v>
      </c>
      <c r="L158" s="456" t="s">
        <v>401</v>
      </c>
    </row>
    <row r="159" spans="1:12" x14ac:dyDescent="0.2">
      <c r="A159" s="219">
        <v>106</v>
      </c>
      <c r="B159" s="36"/>
      <c r="C159" s="9" t="s">
        <v>221</v>
      </c>
      <c r="D159" s="9"/>
      <c r="E159" s="18" t="s">
        <v>212</v>
      </c>
      <c r="F159" s="19" t="s">
        <v>220</v>
      </c>
      <c r="G159" s="391">
        <f>'Yr 1 Operating Statement of Act'!G159</f>
        <v>50000</v>
      </c>
      <c r="H159" s="391">
        <f>+G159</f>
        <v>50000</v>
      </c>
      <c r="I159" s="391">
        <f t="shared" si="10"/>
        <v>50000</v>
      </c>
      <c r="J159" s="391">
        <f t="shared" si="10"/>
        <v>50000</v>
      </c>
      <c r="K159" s="391">
        <f t="shared" si="10"/>
        <v>50000</v>
      </c>
      <c r="L159" s="456" t="s">
        <v>401</v>
      </c>
    </row>
    <row r="160" spans="1:12" x14ac:dyDescent="0.2">
      <c r="A160" s="219">
        <v>107</v>
      </c>
      <c r="B160" s="36"/>
      <c r="C160" s="9" t="s">
        <v>222</v>
      </c>
      <c r="D160" s="9"/>
      <c r="E160" s="18" t="s">
        <v>212</v>
      </c>
      <c r="F160" s="19" t="s">
        <v>220</v>
      </c>
      <c r="G160" s="391">
        <f>'Yr 1 Operating Statement of Act'!G160</f>
        <v>50000</v>
      </c>
      <c r="H160" s="391">
        <f>+G160</f>
        <v>50000</v>
      </c>
      <c r="I160" s="391">
        <f t="shared" si="10"/>
        <v>50000</v>
      </c>
      <c r="J160" s="391">
        <f t="shared" si="10"/>
        <v>50000</v>
      </c>
      <c r="K160" s="391">
        <f t="shared" si="10"/>
        <v>50000</v>
      </c>
      <c r="L160" s="456" t="s">
        <v>401</v>
      </c>
    </row>
    <row r="161" spans="1:12" x14ac:dyDescent="0.2">
      <c r="A161" s="219">
        <v>108</v>
      </c>
      <c r="B161" s="36"/>
      <c r="C161" s="9" t="s">
        <v>223</v>
      </c>
      <c r="D161" s="9"/>
      <c r="E161" s="18" t="s">
        <v>212</v>
      </c>
      <c r="F161" s="19" t="s">
        <v>220</v>
      </c>
      <c r="G161" s="391">
        <f>'Yr 1 Operating Statement of Act'!G161</f>
        <v>0</v>
      </c>
      <c r="H161" s="391"/>
      <c r="I161" s="391"/>
      <c r="J161" s="391"/>
      <c r="K161" s="400"/>
      <c r="L161" s="456"/>
    </row>
    <row r="162" spans="1:12" x14ac:dyDescent="0.2">
      <c r="A162" s="219">
        <v>109</v>
      </c>
      <c r="B162" s="36"/>
      <c r="C162" s="9" t="s">
        <v>184</v>
      </c>
      <c r="D162" s="9"/>
      <c r="E162" s="18" t="s">
        <v>185</v>
      </c>
      <c r="F162" s="19" t="s">
        <v>220</v>
      </c>
      <c r="G162" s="391">
        <f>'Yr 1 Operating Statement of Act'!G162</f>
        <v>11077.56</v>
      </c>
      <c r="H162" s="391">
        <f>+G162*1.05</f>
        <v>11631.438</v>
      </c>
      <c r="I162" s="391">
        <f t="shared" ref="I162:K162" si="11">+H162*1.05</f>
        <v>12213.009900000001</v>
      </c>
      <c r="J162" s="391">
        <f t="shared" si="11"/>
        <v>12823.660395000001</v>
      </c>
      <c r="K162" s="391">
        <f t="shared" si="11"/>
        <v>13464.843414750001</v>
      </c>
      <c r="L162" s="456" t="s">
        <v>396</v>
      </c>
    </row>
    <row r="163" spans="1:12" x14ac:dyDescent="0.2">
      <c r="A163" s="219">
        <v>110</v>
      </c>
      <c r="B163" s="36"/>
      <c r="C163" s="9" t="s">
        <v>186</v>
      </c>
      <c r="D163" s="9"/>
      <c r="E163" s="18" t="s">
        <v>187</v>
      </c>
      <c r="F163" s="19" t="s">
        <v>220</v>
      </c>
      <c r="G163" s="391">
        <f>'Yr 1 Operating Statement of Act'!G163</f>
        <v>8680</v>
      </c>
      <c r="H163" s="391">
        <f>+G163</f>
        <v>8680</v>
      </c>
      <c r="I163" s="391">
        <f t="shared" ref="I163:K163" si="12">+H163</f>
        <v>8680</v>
      </c>
      <c r="J163" s="391">
        <f t="shared" si="12"/>
        <v>8680</v>
      </c>
      <c r="K163" s="391">
        <f t="shared" si="12"/>
        <v>8680</v>
      </c>
      <c r="L163" s="472" t="s">
        <v>397</v>
      </c>
    </row>
    <row r="164" spans="1:12" x14ac:dyDescent="0.2">
      <c r="A164" s="219">
        <v>111</v>
      </c>
      <c r="B164" s="36"/>
      <c r="C164" s="9" t="s">
        <v>188</v>
      </c>
      <c r="D164" s="9"/>
      <c r="E164" s="18" t="s">
        <v>189</v>
      </c>
      <c r="F164" s="19" t="s">
        <v>220</v>
      </c>
      <c r="G164" s="391">
        <f>'Yr 1 Operating Statement of Act'!G164</f>
        <v>2030</v>
      </c>
      <c r="H164" s="391">
        <f t="shared" ref="H164:K165" si="13">+G164</f>
        <v>2030</v>
      </c>
      <c r="I164" s="391">
        <f t="shared" si="13"/>
        <v>2030</v>
      </c>
      <c r="J164" s="391">
        <f t="shared" si="13"/>
        <v>2030</v>
      </c>
      <c r="K164" s="391">
        <f t="shared" si="13"/>
        <v>2030</v>
      </c>
      <c r="L164" s="456" t="s">
        <v>398</v>
      </c>
    </row>
    <row r="165" spans="1:12" x14ac:dyDescent="0.2">
      <c r="A165" s="219">
        <v>112</v>
      </c>
      <c r="B165" s="36"/>
      <c r="C165" s="9" t="s">
        <v>190</v>
      </c>
      <c r="D165" s="9"/>
      <c r="E165" s="18" t="s">
        <v>191</v>
      </c>
      <c r="F165" s="19" t="s">
        <v>220</v>
      </c>
      <c r="G165" s="391">
        <f>'Yr 1 Operating Statement of Act'!G165</f>
        <v>7000</v>
      </c>
      <c r="H165" s="391">
        <f t="shared" si="13"/>
        <v>7000</v>
      </c>
      <c r="I165" s="391">
        <f t="shared" si="13"/>
        <v>7000</v>
      </c>
      <c r="J165" s="391">
        <f t="shared" si="13"/>
        <v>7000</v>
      </c>
      <c r="K165" s="391">
        <f t="shared" si="13"/>
        <v>7000</v>
      </c>
      <c r="L165" s="456" t="s">
        <v>399</v>
      </c>
    </row>
    <row r="166" spans="1:12" x14ac:dyDescent="0.2">
      <c r="A166" s="219">
        <v>113</v>
      </c>
      <c r="B166" s="36"/>
      <c r="C166" s="9" t="s">
        <v>192</v>
      </c>
      <c r="D166" s="9"/>
      <c r="E166" s="18" t="s">
        <v>193</v>
      </c>
      <c r="F166" s="19" t="s">
        <v>220</v>
      </c>
      <c r="G166" s="391">
        <f>'Yr 1 Operating Statement of Act'!G166</f>
        <v>0</v>
      </c>
      <c r="H166" s="391"/>
      <c r="I166" s="391"/>
      <c r="J166" s="391"/>
      <c r="K166" s="400"/>
      <c r="L166" s="456"/>
    </row>
    <row r="167" spans="1:12" x14ac:dyDescent="0.2">
      <c r="A167" s="219">
        <v>114</v>
      </c>
      <c r="B167" s="36"/>
      <c r="C167" s="9" t="s">
        <v>194</v>
      </c>
      <c r="D167" s="9"/>
      <c r="E167" s="18" t="s">
        <v>195</v>
      </c>
      <c r="F167" s="19" t="s">
        <v>220</v>
      </c>
      <c r="G167" s="391">
        <f>'Yr 1 Operating Statement of Act'!G167</f>
        <v>0</v>
      </c>
      <c r="H167" s="391"/>
      <c r="I167" s="391"/>
      <c r="J167" s="391"/>
      <c r="K167" s="400"/>
      <c r="L167" s="456"/>
    </row>
    <row r="168" spans="1:12" x14ac:dyDescent="0.2">
      <c r="A168" s="219">
        <v>115</v>
      </c>
      <c r="B168" s="36"/>
      <c r="C168" s="85" t="s">
        <v>196</v>
      </c>
      <c r="D168" s="9"/>
      <c r="E168" s="18"/>
      <c r="F168" s="19"/>
      <c r="G168" s="391">
        <f>'Yr 1 Operating Statement of Act'!G168</f>
        <v>0</v>
      </c>
      <c r="H168" s="391"/>
      <c r="I168" s="391"/>
      <c r="J168" s="391"/>
      <c r="K168" s="400"/>
      <c r="L168" s="472"/>
    </row>
    <row r="169" spans="1:12" x14ac:dyDescent="0.2">
      <c r="A169" s="219">
        <v>116</v>
      </c>
      <c r="B169" s="36"/>
      <c r="C169" s="85"/>
      <c r="D169" s="9"/>
      <c r="E169" s="18"/>
      <c r="F169" s="19"/>
      <c r="G169" s="391">
        <f>'Yr 1 Operating Statement of Act'!G169</f>
        <v>0</v>
      </c>
      <c r="H169" s="391"/>
      <c r="I169" s="391"/>
      <c r="J169" s="391"/>
      <c r="K169" s="400"/>
      <c r="L169" s="472"/>
    </row>
    <row r="170" spans="1:12" x14ac:dyDescent="0.2">
      <c r="A170" s="219">
        <v>117</v>
      </c>
      <c r="B170" s="83"/>
      <c r="C170" s="84"/>
      <c r="D170" s="13"/>
      <c r="E170" s="14"/>
      <c r="F170" s="15"/>
      <c r="G170" s="412">
        <f>'Yr 1 Operating Statement of Act'!G170</f>
        <v>0</v>
      </c>
      <c r="H170" s="412"/>
      <c r="I170" s="412"/>
      <c r="J170" s="412"/>
      <c r="K170" s="413"/>
      <c r="L170" s="485"/>
    </row>
    <row r="171" spans="1:12" ht="15" x14ac:dyDescent="0.25">
      <c r="A171" s="220">
        <v>118</v>
      </c>
      <c r="B171" s="87" t="s">
        <v>224</v>
      </c>
      <c r="C171" s="51"/>
      <c r="D171" s="51"/>
      <c r="E171" s="49"/>
      <c r="F171" s="50"/>
      <c r="G171" s="415">
        <f>SUM(G158:G170)</f>
        <v>168787.56</v>
      </c>
      <c r="H171" s="415">
        <f>SUM(H158:H170)</f>
        <v>169341.43799999999</v>
      </c>
      <c r="I171" s="415">
        <f>SUM(I158:I170)</f>
        <v>169923.0099</v>
      </c>
      <c r="J171" s="415">
        <f>SUM(J158:J170)</f>
        <v>170533.66039500001</v>
      </c>
      <c r="K171" s="402">
        <f>SUM(K158:K170)</f>
        <v>171174.84341475001</v>
      </c>
      <c r="L171" s="486"/>
    </row>
    <row r="172" spans="1:12" ht="9" customHeight="1" x14ac:dyDescent="0.2">
      <c r="A172" s="224"/>
      <c r="B172" s="35"/>
      <c r="C172" s="12"/>
      <c r="D172" s="12"/>
      <c r="E172" s="16"/>
      <c r="F172" s="17"/>
      <c r="G172" s="417"/>
      <c r="H172" s="417"/>
      <c r="I172" s="417"/>
      <c r="J172" s="417"/>
      <c r="K172" s="418"/>
      <c r="L172" s="491"/>
    </row>
    <row r="173" spans="1:12" s="4" customFormat="1" ht="15" x14ac:dyDescent="0.25">
      <c r="A173" s="219"/>
      <c r="B173" s="88" t="s">
        <v>225</v>
      </c>
      <c r="C173" s="53"/>
      <c r="D173" s="53"/>
      <c r="E173" s="61"/>
      <c r="F173" s="62"/>
      <c r="G173" s="388"/>
      <c r="H173" s="388"/>
      <c r="I173" s="388"/>
      <c r="J173" s="388"/>
      <c r="K173" s="399"/>
      <c r="L173" s="471"/>
    </row>
    <row r="174" spans="1:12" x14ac:dyDescent="0.2">
      <c r="A174" s="219">
        <v>119</v>
      </c>
      <c r="B174" s="36"/>
      <c r="C174" s="9" t="s">
        <v>226</v>
      </c>
      <c r="D174" s="9"/>
      <c r="E174" s="18">
        <v>111</v>
      </c>
      <c r="F174" s="19" t="s">
        <v>227</v>
      </c>
      <c r="G174" s="391">
        <f>'Yr 1 Operating Statement of Act'!G174</f>
        <v>190000</v>
      </c>
      <c r="H174" s="391">
        <f>+G174</f>
        <v>190000</v>
      </c>
      <c r="I174" s="391">
        <f t="shared" ref="I174:K174" si="14">+H174</f>
        <v>190000</v>
      </c>
      <c r="J174" s="391">
        <f t="shared" si="14"/>
        <v>190000</v>
      </c>
      <c r="K174" s="391">
        <f t="shared" si="14"/>
        <v>190000</v>
      </c>
      <c r="L174" s="456" t="s">
        <v>401</v>
      </c>
    </row>
    <row r="175" spans="1:12" x14ac:dyDescent="0.2">
      <c r="A175" s="219">
        <v>120</v>
      </c>
      <c r="B175" s="36"/>
      <c r="C175" s="9" t="s">
        <v>228</v>
      </c>
      <c r="D175" s="9"/>
      <c r="E175" s="18" t="s">
        <v>212</v>
      </c>
      <c r="F175" s="19" t="s">
        <v>227</v>
      </c>
      <c r="G175" s="391">
        <f>'Yr 1 Operating Statement of Act'!G175</f>
        <v>0</v>
      </c>
      <c r="H175" s="391"/>
      <c r="I175" s="391"/>
      <c r="J175" s="391"/>
      <c r="K175" s="400"/>
      <c r="L175" s="456"/>
    </row>
    <row r="176" spans="1:12" x14ac:dyDescent="0.2">
      <c r="A176" s="219">
        <v>121</v>
      </c>
      <c r="B176" s="36"/>
      <c r="C176" s="9" t="s">
        <v>229</v>
      </c>
      <c r="D176" s="9"/>
      <c r="E176" s="18" t="s">
        <v>230</v>
      </c>
      <c r="F176" s="19" t="s">
        <v>227</v>
      </c>
      <c r="G176" s="391">
        <f>'Yr 1 Operating Statement of Act'!G176</f>
        <v>0</v>
      </c>
      <c r="H176" s="391"/>
      <c r="I176" s="391"/>
      <c r="J176" s="391"/>
      <c r="K176" s="400"/>
      <c r="L176" s="472"/>
    </row>
    <row r="177" spans="1:12" x14ac:dyDescent="0.2">
      <c r="A177" s="219">
        <v>122</v>
      </c>
      <c r="B177" s="36"/>
      <c r="C177" s="9" t="s">
        <v>231</v>
      </c>
      <c r="D177" s="9"/>
      <c r="E177" s="18" t="s">
        <v>212</v>
      </c>
      <c r="F177" s="19">
        <v>2230</v>
      </c>
      <c r="G177" s="391">
        <f>'Yr 1 Operating Statement of Act'!G177</f>
        <v>0</v>
      </c>
      <c r="H177" s="391"/>
      <c r="I177" s="391"/>
      <c r="J177" s="391"/>
      <c r="K177" s="400"/>
      <c r="L177" s="456"/>
    </row>
    <row r="178" spans="1:12" x14ac:dyDescent="0.2">
      <c r="A178" s="219">
        <v>123</v>
      </c>
      <c r="B178" s="36"/>
      <c r="C178" s="9" t="s">
        <v>232</v>
      </c>
      <c r="D178" s="9"/>
      <c r="E178" s="18" t="s">
        <v>212</v>
      </c>
      <c r="F178" s="19" t="s">
        <v>227</v>
      </c>
      <c r="G178" s="391">
        <f>'Yr 1 Operating Statement of Act'!G178</f>
        <v>0</v>
      </c>
      <c r="H178" s="391"/>
      <c r="I178" s="391"/>
      <c r="J178" s="391"/>
      <c r="K178" s="400"/>
      <c r="L178" s="472"/>
    </row>
    <row r="179" spans="1:12" x14ac:dyDescent="0.2">
      <c r="A179" s="219">
        <v>124</v>
      </c>
      <c r="B179" s="36"/>
      <c r="C179" s="9" t="s">
        <v>184</v>
      </c>
      <c r="D179" s="9"/>
      <c r="E179" s="18" t="s">
        <v>185</v>
      </c>
      <c r="F179" s="19" t="s">
        <v>227</v>
      </c>
      <c r="G179" s="391">
        <f>'Yr 1 Operating Statement of Act'!G179</f>
        <v>11077.56</v>
      </c>
      <c r="H179" s="391">
        <f t="shared" ref="H179:K179" si="15">+G179*1.05</f>
        <v>11631.438</v>
      </c>
      <c r="I179" s="391">
        <f t="shared" si="15"/>
        <v>12213.009900000001</v>
      </c>
      <c r="J179" s="391">
        <f t="shared" si="15"/>
        <v>12823.660395000001</v>
      </c>
      <c r="K179" s="391">
        <f t="shared" si="15"/>
        <v>13464.843414750001</v>
      </c>
      <c r="L179" s="456" t="s">
        <v>396</v>
      </c>
    </row>
    <row r="180" spans="1:12" x14ac:dyDescent="0.2">
      <c r="A180" s="219">
        <v>125</v>
      </c>
      <c r="B180" s="36"/>
      <c r="C180" s="9" t="s">
        <v>186</v>
      </c>
      <c r="D180" s="9"/>
      <c r="E180" s="18" t="s">
        <v>187</v>
      </c>
      <c r="F180" s="19" t="s">
        <v>227</v>
      </c>
      <c r="G180" s="391">
        <f>'Yr 1 Operating Statement of Act'!G180</f>
        <v>11780</v>
      </c>
      <c r="H180" s="391">
        <f>G180</f>
        <v>11780</v>
      </c>
      <c r="I180" s="391">
        <f t="shared" ref="I180:K180" si="16">H180</f>
        <v>11780</v>
      </c>
      <c r="J180" s="391">
        <f t="shared" si="16"/>
        <v>11780</v>
      </c>
      <c r="K180" s="391">
        <f t="shared" si="16"/>
        <v>11780</v>
      </c>
      <c r="L180" s="472" t="s">
        <v>397</v>
      </c>
    </row>
    <row r="181" spans="1:12" x14ac:dyDescent="0.2">
      <c r="A181" s="219">
        <v>126</v>
      </c>
      <c r="B181" s="36"/>
      <c r="C181" s="9" t="s">
        <v>188</v>
      </c>
      <c r="D181" s="9"/>
      <c r="E181" s="18" t="s">
        <v>189</v>
      </c>
      <c r="F181" s="19" t="s">
        <v>227</v>
      </c>
      <c r="G181" s="391">
        <f>'Yr 1 Operating Statement of Act'!G181</f>
        <v>2754.9999999999995</v>
      </c>
      <c r="H181" s="391">
        <f t="shared" ref="H181:H182" si="17">G181</f>
        <v>2754.9999999999995</v>
      </c>
      <c r="I181" s="391">
        <f t="shared" ref="I181:K181" si="18">H181</f>
        <v>2754.9999999999995</v>
      </c>
      <c r="J181" s="391">
        <f t="shared" si="18"/>
        <v>2754.9999999999995</v>
      </c>
      <c r="K181" s="391">
        <f t="shared" si="18"/>
        <v>2754.9999999999995</v>
      </c>
      <c r="L181" s="456" t="s">
        <v>398</v>
      </c>
    </row>
    <row r="182" spans="1:12" x14ac:dyDescent="0.2">
      <c r="A182" s="219">
        <v>127</v>
      </c>
      <c r="B182" s="36"/>
      <c r="C182" s="9" t="s">
        <v>190</v>
      </c>
      <c r="D182" s="9"/>
      <c r="E182" s="18" t="s">
        <v>191</v>
      </c>
      <c r="F182" s="19" t="s">
        <v>227</v>
      </c>
      <c r="G182" s="391">
        <f>'Yr 1 Operating Statement of Act'!G182</f>
        <v>9500</v>
      </c>
      <c r="H182" s="391">
        <f t="shared" si="17"/>
        <v>9500</v>
      </c>
      <c r="I182" s="391">
        <f t="shared" ref="I182:K182" si="19">H182</f>
        <v>9500</v>
      </c>
      <c r="J182" s="391">
        <f t="shared" si="19"/>
        <v>9500</v>
      </c>
      <c r="K182" s="391">
        <f t="shared" si="19"/>
        <v>9500</v>
      </c>
      <c r="L182" s="456" t="s">
        <v>399</v>
      </c>
    </row>
    <row r="183" spans="1:12" x14ac:dyDescent="0.2">
      <c r="A183" s="219">
        <v>128</v>
      </c>
      <c r="B183" s="36"/>
      <c r="C183" s="9" t="s">
        <v>192</v>
      </c>
      <c r="D183" s="9"/>
      <c r="E183" s="18" t="s">
        <v>193</v>
      </c>
      <c r="F183" s="19" t="s">
        <v>227</v>
      </c>
      <c r="G183" s="391">
        <f>'Yr 1 Operating Statement of Act'!G183</f>
        <v>0</v>
      </c>
      <c r="H183" s="391"/>
      <c r="I183" s="391"/>
      <c r="J183" s="391"/>
      <c r="K183" s="400"/>
      <c r="L183" s="456"/>
    </row>
    <row r="184" spans="1:12" x14ac:dyDescent="0.2">
      <c r="A184" s="219">
        <v>129</v>
      </c>
      <c r="B184" s="36"/>
      <c r="C184" s="9" t="s">
        <v>194</v>
      </c>
      <c r="D184" s="9"/>
      <c r="E184" s="18" t="s">
        <v>195</v>
      </c>
      <c r="F184" s="19" t="s">
        <v>227</v>
      </c>
      <c r="G184" s="391">
        <f>'Yr 1 Operating Statement of Act'!G184</f>
        <v>0</v>
      </c>
      <c r="H184" s="391"/>
      <c r="I184" s="391"/>
      <c r="J184" s="391"/>
      <c r="K184" s="400"/>
      <c r="L184" s="456"/>
    </row>
    <row r="185" spans="1:12" x14ac:dyDescent="0.2">
      <c r="A185" s="219">
        <v>130</v>
      </c>
      <c r="B185" s="36"/>
      <c r="C185" s="85" t="s">
        <v>196</v>
      </c>
      <c r="D185" s="9"/>
      <c r="E185" s="18"/>
      <c r="F185" s="19"/>
      <c r="G185" s="391">
        <f>'Yr 1 Operating Statement of Act'!G185</f>
        <v>0</v>
      </c>
      <c r="H185" s="391"/>
      <c r="I185" s="391"/>
      <c r="J185" s="391"/>
      <c r="K185" s="400"/>
      <c r="L185" s="472"/>
    </row>
    <row r="186" spans="1:12" x14ac:dyDescent="0.2">
      <c r="A186" s="219">
        <v>131</v>
      </c>
      <c r="B186" s="36"/>
      <c r="C186" s="85"/>
      <c r="D186" s="9"/>
      <c r="E186" s="18"/>
      <c r="F186" s="19"/>
      <c r="G186" s="391">
        <f>'Yr 1 Operating Statement of Act'!G186</f>
        <v>0</v>
      </c>
      <c r="H186" s="391"/>
      <c r="I186" s="391"/>
      <c r="J186" s="391"/>
      <c r="K186" s="400"/>
      <c r="L186" s="472"/>
    </row>
    <row r="187" spans="1:12" x14ac:dyDescent="0.2">
      <c r="A187" s="219">
        <v>132</v>
      </c>
      <c r="B187" s="83"/>
      <c r="D187" s="13"/>
      <c r="E187" s="14"/>
      <c r="F187" s="15"/>
      <c r="G187" s="412">
        <f>'Yr 1 Operating Statement of Act'!G187</f>
        <v>0</v>
      </c>
      <c r="H187" s="412"/>
      <c r="I187" s="412"/>
      <c r="J187" s="412"/>
      <c r="K187" s="413"/>
      <c r="L187" s="485"/>
    </row>
    <row r="188" spans="1:12" ht="15" x14ac:dyDescent="0.25">
      <c r="A188" s="220">
        <v>133</v>
      </c>
      <c r="B188" s="87" t="s">
        <v>233</v>
      </c>
      <c r="C188" s="51"/>
      <c r="D188" s="51"/>
      <c r="E188" s="49"/>
      <c r="F188" s="50"/>
      <c r="G188" s="415">
        <f>SUM(G174:G187)</f>
        <v>225112.56</v>
      </c>
      <c r="H188" s="415">
        <f>SUM(H174:H187)</f>
        <v>225666.43799999999</v>
      </c>
      <c r="I188" s="415">
        <f>SUM(I174:I187)</f>
        <v>226248.0099</v>
      </c>
      <c r="J188" s="415">
        <f>SUM(J174:J187)</f>
        <v>226858.66039500001</v>
      </c>
      <c r="K188" s="402">
        <f>SUM(K174:K187)</f>
        <v>227499.84341475001</v>
      </c>
      <c r="L188" s="486"/>
    </row>
    <row r="189" spans="1:12" ht="4.5" customHeight="1" x14ac:dyDescent="0.2">
      <c r="A189" s="224"/>
      <c r="B189" s="35"/>
      <c r="C189" s="12"/>
      <c r="D189" s="12"/>
      <c r="E189" s="16"/>
      <c r="F189" s="17"/>
      <c r="G189" s="417"/>
      <c r="H189" s="417"/>
      <c r="I189" s="417"/>
      <c r="J189" s="417"/>
      <c r="K189" s="418"/>
      <c r="L189" s="491"/>
    </row>
    <row r="190" spans="1:12" s="4" customFormat="1" ht="15" x14ac:dyDescent="0.25">
      <c r="A190" s="219"/>
      <c r="B190" s="88" t="s">
        <v>234</v>
      </c>
      <c r="C190" s="53"/>
      <c r="D190" s="53"/>
      <c r="E190" s="61"/>
      <c r="F190" s="62"/>
      <c r="G190" s="388"/>
      <c r="H190" s="388"/>
      <c r="I190" s="388"/>
      <c r="J190" s="388"/>
      <c r="K190" s="399"/>
      <c r="L190" s="471"/>
    </row>
    <row r="191" spans="1:12" x14ac:dyDescent="0.2">
      <c r="A191" s="219"/>
      <c r="B191" s="25"/>
      <c r="C191" s="11" t="s">
        <v>235</v>
      </c>
      <c r="D191" s="11"/>
      <c r="E191" s="61"/>
      <c r="F191" s="62"/>
      <c r="G191" s="388"/>
      <c r="H191" s="388"/>
      <c r="I191" s="388"/>
      <c r="J191" s="388"/>
      <c r="K191" s="399"/>
      <c r="L191" s="471"/>
    </row>
    <row r="192" spans="1:12" x14ac:dyDescent="0.2">
      <c r="A192" s="219">
        <v>134</v>
      </c>
      <c r="B192" s="36"/>
      <c r="C192" s="9"/>
      <c r="D192" s="9" t="s">
        <v>236</v>
      </c>
      <c r="E192" s="18">
        <v>332</v>
      </c>
      <c r="F192" s="19" t="s">
        <v>237</v>
      </c>
      <c r="G192" s="391">
        <f>'Yr 1 Operating Statement of Act'!G192</f>
        <v>0</v>
      </c>
      <c r="H192" s="391"/>
      <c r="I192" s="391"/>
      <c r="J192" s="391"/>
      <c r="K192" s="400"/>
      <c r="L192" s="456"/>
    </row>
    <row r="193" spans="1:12" x14ac:dyDescent="0.2">
      <c r="A193" s="219">
        <v>135</v>
      </c>
      <c r="B193" s="36"/>
      <c r="C193" s="9"/>
      <c r="D193" s="9" t="s">
        <v>168</v>
      </c>
      <c r="E193" s="18" t="s">
        <v>169</v>
      </c>
      <c r="F193" s="19" t="s">
        <v>238</v>
      </c>
      <c r="G193" s="391">
        <f>'Yr 1 Operating Statement of Act'!G193</f>
        <v>0</v>
      </c>
      <c r="H193" s="391"/>
      <c r="I193" s="391"/>
      <c r="J193" s="391"/>
      <c r="K193" s="400"/>
      <c r="L193" s="472"/>
    </row>
    <row r="194" spans="1:12" x14ac:dyDescent="0.2">
      <c r="A194" s="219">
        <v>136</v>
      </c>
      <c r="B194" s="36"/>
      <c r="C194" s="9"/>
      <c r="D194" s="9" t="s">
        <v>239</v>
      </c>
      <c r="E194" s="18" t="s">
        <v>240</v>
      </c>
      <c r="F194" s="19" t="s">
        <v>238</v>
      </c>
      <c r="G194" s="391">
        <f>'Yr 1 Operating Statement of Act'!G194</f>
        <v>0</v>
      </c>
      <c r="H194" s="391"/>
      <c r="I194" s="391"/>
      <c r="J194" s="391"/>
      <c r="K194" s="400"/>
      <c r="L194" s="472"/>
    </row>
    <row r="195" spans="1:12" x14ac:dyDescent="0.2">
      <c r="A195" s="219">
        <v>137</v>
      </c>
      <c r="B195" s="36"/>
      <c r="C195" s="9"/>
      <c r="D195" s="9" t="s">
        <v>241</v>
      </c>
      <c r="E195" s="18" t="s">
        <v>242</v>
      </c>
      <c r="F195" s="19" t="s">
        <v>237</v>
      </c>
      <c r="G195" s="391">
        <f>'Yr 1 Operating Statement of Act'!G195</f>
        <v>0</v>
      </c>
      <c r="H195" s="391"/>
      <c r="I195" s="391"/>
      <c r="J195" s="391"/>
      <c r="K195" s="400"/>
      <c r="L195" s="456"/>
    </row>
    <row r="196" spans="1:12" x14ac:dyDescent="0.2">
      <c r="A196" s="219">
        <v>138</v>
      </c>
      <c r="B196" s="36"/>
      <c r="C196" s="9"/>
      <c r="D196" s="9" t="s">
        <v>51</v>
      </c>
      <c r="E196" s="18" t="s">
        <v>243</v>
      </c>
      <c r="F196" s="19" t="s">
        <v>238</v>
      </c>
      <c r="G196" s="391">
        <f>'Yr 1 Operating Statement of Act'!G196</f>
        <v>0</v>
      </c>
      <c r="H196" s="391"/>
      <c r="I196" s="391"/>
      <c r="J196" s="391"/>
      <c r="K196" s="400"/>
      <c r="L196" s="472"/>
    </row>
    <row r="197" spans="1:12" x14ac:dyDescent="0.2">
      <c r="A197" s="219">
        <v>139</v>
      </c>
      <c r="B197" s="36"/>
      <c r="C197" s="9"/>
      <c r="D197" s="9" t="s">
        <v>244</v>
      </c>
      <c r="E197" s="18">
        <v>730</v>
      </c>
      <c r="F197" s="19" t="s">
        <v>237</v>
      </c>
      <c r="G197" s="391">
        <f>'Yr 1 Operating Statement of Act'!G197</f>
        <v>0</v>
      </c>
      <c r="H197" s="391"/>
      <c r="I197" s="391"/>
      <c r="J197" s="391"/>
      <c r="K197" s="400"/>
      <c r="L197" s="472"/>
    </row>
    <row r="198" spans="1:12" x14ac:dyDescent="0.2">
      <c r="A198" s="219">
        <v>140</v>
      </c>
      <c r="B198" s="36"/>
      <c r="C198" s="9"/>
      <c r="D198" s="9" t="s">
        <v>245</v>
      </c>
      <c r="E198" s="18" t="s">
        <v>246</v>
      </c>
      <c r="F198" s="19" t="s">
        <v>238</v>
      </c>
      <c r="G198" s="391">
        <f>'Yr 1 Operating Statement of Act'!G198</f>
        <v>0</v>
      </c>
      <c r="H198" s="391"/>
      <c r="I198" s="391"/>
      <c r="J198" s="391"/>
      <c r="K198" s="400"/>
      <c r="L198" s="472"/>
    </row>
    <row r="199" spans="1:12" x14ac:dyDescent="0.2">
      <c r="A199" s="219">
        <v>141</v>
      </c>
      <c r="B199" s="36"/>
      <c r="C199" s="9"/>
      <c r="D199" s="9" t="s">
        <v>247</v>
      </c>
      <c r="E199" s="18" t="s">
        <v>248</v>
      </c>
      <c r="F199" s="19" t="s">
        <v>238</v>
      </c>
      <c r="G199" s="391">
        <f>'Yr 1 Operating Statement of Act'!G199</f>
        <v>0</v>
      </c>
      <c r="H199" s="391"/>
      <c r="I199" s="391"/>
      <c r="J199" s="391"/>
      <c r="K199" s="400"/>
      <c r="L199" s="472"/>
    </row>
    <row r="200" spans="1:12" x14ac:dyDescent="0.2">
      <c r="A200" s="219">
        <v>142</v>
      </c>
      <c r="B200" s="36"/>
      <c r="C200" s="85" t="s">
        <v>196</v>
      </c>
      <c r="D200" s="9"/>
      <c r="E200" s="18"/>
      <c r="F200" s="19"/>
      <c r="G200" s="391">
        <f>'Yr 1 Operating Statement of Act'!G200</f>
        <v>0</v>
      </c>
      <c r="H200" s="391"/>
      <c r="I200" s="391"/>
      <c r="J200" s="391"/>
      <c r="K200" s="400"/>
      <c r="L200" s="472"/>
    </row>
    <row r="201" spans="1:12" x14ac:dyDescent="0.2">
      <c r="A201" s="219">
        <v>143</v>
      </c>
      <c r="B201" s="107"/>
      <c r="C201" s="108"/>
      <c r="D201" s="109"/>
      <c r="E201" s="18"/>
      <c r="F201" s="19"/>
      <c r="G201" s="391">
        <f>'Yr 1 Operating Statement of Act'!G201</f>
        <v>0</v>
      </c>
      <c r="H201" s="391"/>
      <c r="I201" s="391"/>
      <c r="J201" s="391"/>
      <c r="K201" s="400"/>
      <c r="L201" s="472"/>
    </row>
    <row r="202" spans="1:12" x14ac:dyDescent="0.2">
      <c r="A202" s="219">
        <v>144</v>
      </c>
      <c r="B202" s="36"/>
      <c r="C202" s="9"/>
      <c r="D202" s="9"/>
      <c r="E202" s="18"/>
      <c r="F202" s="19"/>
      <c r="G202" s="391">
        <f>'Yr 1 Operating Statement of Act'!G202</f>
        <v>0</v>
      </c>
      <c r="H202" s="391"/>
      <c r="I202" s="391"/>
      <c r="J202" s="391"/>
      <c r="K202" s="400"/>
      <c r="L202" s="472"/>
    </row>
    <row r="203" spans="1:12" ht="15" x14ac:dyDescent="0.25">
      <c r="A203" s="220">
        <v>145</v>
      </c>
      <c r="B203" s="87" t="s">
        <v>249</v>
      </c>
      <c r="C203" s="51"/>
      <c r="D203" s="51"/>
      <c r="E203" s="49"/>
      <c r="F203" s="50"/>
      <c r="G203" s="415">
        <f>SUM(G192:G202)</f>
        <v>0</v>
      </c>
      <c r="H203" s="415">
        <f>SUM(H192:H202)</f>
        <v>0</v>
      </c>
      <c r="I203" s="415">
        <f>SUM(I192:I202)</f>
        <v>0</v>
      </c>
      <c r="J203" s="415">
        <f>SUM(J192:J202)</f>
        <v>0</v>
      </c>
      <c r="K203" s="402">
        <f>SUM(K192:K202)</f>
        <v>0</v>
      </c>
      <c r="L203" s="486"/>
    </row>
    <row r="204" spans="1:12" x14ac:dyDescent="0.2">
      <c r="A204" s="219"/>
      <c r="B204" s="36"/>
      <c r="C204" s="9"/>
      <c r="D204" s="9"/>
      <c r="E204" s="18"/>
      <c r="F204" s="19"/>
      <c r="G204" s="391"/>
      <c r="H204" s="391"/>
      <c r="I204" s="391"/>
      <c r="J204" s="391"/>
      <c r="K204" s="400"/>
      <c r="L204" s="472"/>
    </row>
    <row r="205" spans="1:12" s="4" customFormat="1" ht="15" x14ac:dyDescent="0.25">
      <c r="A205" s="219"/>
      <c r="B205" s="88" t="s">
        <v>250</v>
      </c>
      <c r="C205" s="53"/>
      <c r="D205" s="53"/>
      <c r="E205" s="61"/>
      <c r="F205" s="62"/>
      <c r="G205" s="388"/>
      <c r="H205" s="388"/>
      <c r="I205" s="388"/>
      <c r="J205" s="388"/>
      <c r="K205" s="399"/>
      <c r="L205" s="471"/>
    </row>
    <row r="206" spans="1:12" x14ac:dyDescent="0.2">
      <c r="A206" s="219"/>
      <c r="B206" s="36"/>
      <c r="C206" s="9" t="s">
        <v>160</v>
      </c>
      <c r="D206" s="9"/>
      <c r="E206" s="61"/>
      <c r="F206" s="62"/>
      <c r="G206" s="388"/>
      <c r="H206" s="388"/>
      <c r="I206" s="388"/>
      <c r="J206" s="388"/>
      <c r="K206" s="399"/>
      <c r="L206" s="471"/>
    </row>
    <row r="207" spans="1:12" x14ac:dyDescent="0.2">
      <c r="A207" s="219">
        <v>146</v>
      </c>
      <c r="B207" s="36"/>
      <c r="C207" s="9"/>
      <c r="D207" s="9" t="s">
        <v>251</v>
      </c>
      <c r="E207" s="18" t="s">
        <v>252</v>
      </c>
      <c r="F207" s="19" t="s">
        <v>253</v>
      </c>
      <c r="G207" s="391">
        <f>'Yr 1 Operating Statement of Act'!G207</f>
        <v>100000</v>
      </c>
      <c r="H207" s="391">
        <f>+G207</f>
        <v>100000</v>
      </c>
      <c r="I207" s="391">
        <f t="shared" ref="I207:K209" si="20">+H207</f>
        <v>100000</v>
      </c>
      <c r="J207" s="391">
        <f t="shared" si="20"/>
        <v>100000</v>
      </c>
      <c r="K207" s="391">
        <f t="shared" si="20"/>
        <v>100000</v>
      </c>
      <c r="L207" s="456" t="s">
        <v>401</v>
      </c>
    </row>
    <row r="208" spans="1:12" x14ac:dyDescent="0.2">
      <c r="A208" s="219">
        <v>147</v>
      </c>
      <c r="B208" s="36"/>
      <c r="C208" s="9"/>
      <c r="D208" s="9" t="s">
        <v>254</v>
      </c>
      <c r="E208" s="18" t="s">
        <v>252</v>
      </c>
      <c r="F208" s="19" t="s">
        <v>255</v>
      </c>
      <c r="G208" s="391">
        <f>'Yr 1 Operating Statement of Act'!G208</f>
        <v>92500</v>
      </c>
      <c r="H208" s="391">
        <f>+G208</f>
        <v>92500</v>
      </c>
      <c r="I208" s="391">
        <f t="shared" si="20"/>
        <v>92500</v>
      </c>
      <c r="J208" s="391">
        <f t="shared" si="20"/>
        <v>92500</v>
      </c>
      <c r="K208" s="391">
        <f t="shared" si="20"/>
        <v>92500</v>
      </c>
      <c r="L208" s="456" t="s">
        <v>401</v>
      </c>
    </row>
    <row r="209" spans="1:12" x14ac:dyDescent="0.2">
      <c r="A209" s="219">
        <v>148</v>
      </c>
      <c r="B209" s="36"/>
      <c r="C209" s="9"/>
      <c r="D209" s="9" t="s">
        <v>256</v>
      </c>
      <c r="E209" s="18" t="s">
        <v>257</v>
      </c>
      <c r="F209" s="19" t="s">
        <v>258</v>
      </c>
      <c r="G209" s="391">
        <f>'Yr 1 Operating Statement of Act'!G209</f>
        <v>65000</v>
      </c>
      <c r="H209" s="391">
        <f>+G209</f>
        <v>65000</v>
      </c>
      <c r="I209" s="391">
        <f t="shared" si="20"/>
        <v>65000</v>
      </c>
      <c r="J209" s="391">
        <f t="shared" si="20"/>
        <v>65000</v>
      </c>
      <c r="K209" s="391">
        <f t="shared" si="20"/>
        <v>65000</v>
      </c>
      <c r="L209" s="456" t="s">
        <v>401</v>
      </c>
    </row>
    <row r="210" spans="1:12" ht="39.75" customHeight="1" x14ac:dyDescent="0.2">
      <c r="A210" s="219">
        <v>149</v>
      </c>
      <c r="B210" s="36"/>
      <c r="C210" s="9" t="s">
        <v>168</v>
      </c>
      <c r="D210" s="9"/>
      <c r="E210" s="18" t="s">
        <v>169</v>
      </c>
      <c r="F210" s="19" t="s">
        <v>258</v>
      </c>
      <c r="G210" s="391">
        <f>'Yr 1 Operating Statement of Act'!G210</f>
        <v>120672.26324175825</v>
      </c>
      <c r="H210" s="391">
        <f>+'Rev &amp; Exp Assumptions'!E18+'Rev &amp; Exp Assumptions'!E23+'Rev &amp; Exp Assumptions'!E29+'Rev &amp; Exp Assumptions'!E54+'Rev &amp; Exp Assumptions'!E57</f>
        <v>127678.72887362637</v>
      </c>
      <c r="I210" s="391">
        <f>+'Rev &amp; Exp Assumptions'!F18+'Rev &amp; Exp Assumptions'!F23+'Rev &amp; Exp Assumptions'!F29+'Rev &amp; Exp Assumptions'!F54+'Rev &amp; Exp Assumptions'!F57</f>
        <v>134685.1945054945</v>
      </c>
      <c r="J210" s="391">
        <f>+'Rev &amp; Exp Assumptions'!G18+'Rev &amp; Exp Assumptions'!G23+'Rev &amp; Exp Assumptions'!G29+'Rev &amp; Exp Assumptions'!G54+'Rev &amp; Exp Assumptions'!G57</f>
        <v>141691.66013736263</v>
      </c>
      <c r="K210" s="400">
        <f>+'Rev &amp; Exp Assumptions'!H18+'Rev &amp; Exp Assumptions'!H23+'Rev &amp; Exp Assumptions'!H29+'Rev &amp; Exp Assumptions'!H54+'Rev &amp; Exp Assumptions'!H57</f>
        <v>148698.12576923077</v>
      </c>
      <c r="L210" s="456" t="s">
        <v>259</v>
      </c>
    </row>
    <row r="211" spans="1:12" x14ac:dyDescent="0.2">
      <c r="A211" s="219">
        <v>150</v>
      </c>
      <c r="B211" s="36"/>
      <c r="C211" s="9" t="s">
        <v>171</v>
      </c>
      <c r="D211" s="9"/>
      <c r="E211" s="18" t="s">
        <v>172</v>
      </c>
      <c r="F211" s="19" t="s">
        <v>258</v>
      </c>
      <c r="G211" s="391">
        <f>'Yr 1 Operating Statement of Act'!G211</f>
        <v>0</v>
      </c>
      <c r="H211" s="391"/>
      <c r="I211" s="391"/>
      <c r="J211" s="391"/>
      <c r="K211" s="400"/>
      <c r="L211" s="472"/>
    </row>
    <row r="212" spans="1:12" x14ac:dyDescent="0.2">
      <c r="A212" s="219">
        <v>151</v>
      </c>
      <c r="B212" s="36"/>
      <c r="C212" s="9" t="s">
        <v>260</v>
      </c>
      <c r="D212" s="9"/>
      <c r="E212" s="18" t="s">
        <v>261</v>
      </c>
      <c r="F212" s="19" t="s">
        <v>258</v>
      </c>
      <c r="G212" s="391">
        <f>'Yr 1 Operating Statement of Act'!G212</f>
        <v>54488.330769230772</v>
      </c>
      <c r="H212" s="391">
        <f>+'Rev &amp; Exp Assumptions'!E42</f>
        <v>54488.330769230772</v>
      </c>
      <c r="I212" s="391">
        <f>+'Rev &amp; Exp Assumptions'!F42</f>
        <v>54488.330769230772</v>
      </c>
      <c r="J212" s="391">
        <f>+'Rev &amp; Exp Assumptions'!G42</f>
        <v>54488.330769230772</v>
      </c>
      <c r="K212" s="391">
        <f>+'Rev &amp; Exp Assumptions'!H42</f>
        <v>54488.330769230772</v>
      </c>
      <c r="L212" s="472" t="s">
        <v>400</v>
      </c>
    </row>
    <row r="213" spans="1:12" x14ac:dyDescent="0.2">
      <c r="A213" s="219">
        <v>152</v>
      </c>
      <c r="B213" s="36"/>
      <c r="C213" s="9" t="s">
        <v>263</v>
      </c>
      <c r="D213" s="9"/>
      <c r="E213" s="18" t="s">
        <v>264</v>
      </c>
      <c r="F213" s="19" t="s">
        <v>258</v>
      </c>
      <c r="G213" s="391">
        <f>'Yr 1 Operating Statement of Act'!G213</f>
        <v>0</v>
      </c>
      <c r="H213" s="391"/>
      <c r="I213" s="391"/>
      <c r="J213" s="391"/>
      <c r="K213" s="391"/>
      <c r="L213" s="456"/>
    </row>
    <row r="214" spans="1:12" x14ac:dyDescent="0.2">
      <c r="A214" s="219">
        <v>153</v>
      </c>
      <c r="B214" s="36"/>
      <c r="C214" s="9" t="s">
        <v>173</v>
      </c>
      <c r="D214" s="9"/>
      <c r="E214" s="18" t="s">
        <v>174</v>
      </c>
      <c r="F214" s="19" t="s">
        <v>258</v>
      </c>
      <c r="G214" s="391">
        <f>'Yr 1 Operating Statement of Act'!G214</f>
        <v>7502.6107894736833</v>
      </c>
      <c r="H214" s="391">
        <f>+'Rev &amp; Exp Assumptions'!E58</f>
        <v>7919.4224999999997</v>
      </c>
      <c r="I214" s="391">
        <f>+'Rev &amp; Exp Assumptions'!F58</f>
        <v>8336.2342105263142</v>
      </c>
      <c r="J214" s="391">
        <f>+'Rev &amp; Exp Assumptions'!G58</f>
        <v>8753.0459210526315</v>
      </c>
      <c r="K214" s="391">
        <f>+'Rev &amp; Exp Assumptions'!H58</f>
        <v>9169.8576315789469</v>
      </c>
      <c r="L214" s="472" t="s">
        <v>400</v>
      </c>
    </row>
    <row r="215" spans="1:12" x14ac:dyDescent="0.2">
      <c r="A215" s="219">
        <v>154</v>
      </c>
      <c r="B215" s="36"/>
      <c r="C215" s="9" t="s">
        <v>207</v>
      </c>
      <c r="D215" s="9"/>
      <c r="E215" s="18" t="s">
        <v>177</v>
      </c>
      <c r="F215" s="19" t="s">
        <v>258</v>
      </c>
      <c r="G215" s="391">
        <f>'Yr 1 Operating Statement of Act'!G215</f>
        <v>51290.120131578944</v>
      </c>
      <c r="H215" s="391">
        <f>+'Rev &amp; Exp Assumptions'!E56</f>
        <v>54139.571250000001</v>
      </c>
      <c r="I215" s="391">
        <f>+'Rev &amp; Exp Assumptions'!F56</f>
        <v>56989.02236842105</v>
      </c>
      <c r="J215" s="391">
        <f>+'Rev &amp; Exp Assumptions'!G56</f>
        <v>59838.473486842107</v>
      </c>
      <c r="K215" s="391">
        <f>+'Rev &amp; Exp Assumptions'!H56</f>
        <v>62687.924605263157</v>
      </c>
      <c r="L215" s="472" t="s">
        <v>400</v>
      </c>
    </row>
    <row r="216" spans="1:12" x14ac:dyDescent="0.2">
      <c r="A216" s="219">
        <v>155</v>
      </c>
      <c r="B216" s="36"/>
      <c r="C216" s="9" t="s">
        <v>213</v>
      </c>
      <c r="D216" s="9"/>
      <c r="E216" s="18" t="s">
        <v>214</v>
      </c>
      <c r="F216" s="19" t="s">
        <v>258</v>
      </c>
      <c r="G216" s="391">
        <f>'Yr 1 Operating Statement of Act'!G216</f>
        <v>21104.927884615387</v>
      </c>
      <c r="H216" s="391">
        <f>+'Rev &amp; Exp Assumptions'!E25</f>
        <v>22346.39423076923</v>
      </c>
      <c r="I216" s="391">
        <f>+'Rev &amp; Exp Assumptions'!F25</f>
        <v>23587.860576923078</v>
      </c>
      <c r="J216" s="391">
        <f>+'Rev &amp; Exp Assumptions'!G25</f>
        <v>24829.326923076922</v>
      </c>
      <c r="K216" s="391">
        <f>+'Rev &amp; Exp Assumptions'!H25</f>
        <v>26070.79326923077</v>
      </c>
      <c r="L216" s="472" t="s">
        <v>400</v>
      </c>
    </row>
    <row r="217" spans="1:12" x14ac:dyDescent="0.2">
      <c r="A217" s="219">
        <v>156</v>
      </c>
      <c r="B217" s="36"/>
      <c r="C217" s="9" t="s">
        <v>265</v>
      </c>
      <c r="D217" s="9"/>
      <c r="E217" s="18" t="s">
        <v>246</v>
      </c>
      <c r="F217" s="19" t="s">
        <v>258</v>
      </c>
      <c r="G217" s="391">
        <f>'Yr 1 Operating Statement of Act'!G217</f>
        <v>1535.2190934065934</v>
      </c>
      <c r="H217" s="391">
        <f>+'Rev &amp; Exp Assumptions'!E27</f>
        <v>1625.5260989010987</v>
      </c>
      <c r="I217" s="391">
        <f>+'Rev &amp; Exp Assumptions'!F27</f>
        <v>1715.8331043956043</v>
      </c>
      <c r="J217" s="391">
        <f>+'Rev &amp; Exp Assumptions'!G27</f>
        <v>1806.1401098901097</v>
      </c>
      <c r="K217" s="391">
        <f>+'Rev &amp; Exp Assumptions'!H27</f>
        <v>1896.4471153846152</v>
      </c>
      <c r="L217" s="472" t="s">
        <v>400</v>
      </c>
    </row>
    <row r="218" spans="1:12" x14ac:dyDescent="0.2">
      <c r="A218" s="219">
        <v>157</v>
      </c>
      <c r="B218" s="36"/>
      <c r="C218" s="9" t="s">
        <v>182</v>
      </c>
      <c r="D218" s="9"/>
      <c r="E218" s="18" t="s">
        <v>183</v>
      </c>
      <c r="F218" s="19" t="s">
        <v>258</v>
      </c>
      <c r="G218" s="391">
        <f>'Yr 1 Operating Statement of Act'!G218</f>
        <v>0</v>
      </c>
      <c r="H218" s="391"/>
      <c r="I218" s="391"/>
      <c r="J218" s="391"/>
      <c r="K218" s="400"/>
      <c r="L218" s="472"/>
    </row>
    <row r="219" spans="1:12" x14ac:dyDescent="0.2">
      <c r="A219" s="219">
        <v>158</v>
      </c>
      <c r="B219" s="36"/>
      <c r="C219" s="9" t="s">
        <v>184</v>
      </c>
      <c r="D219" s="9"/>
      <c r="E219" s="18" t="s">
        <v>185</v>
      </c>
      <c r="F219" s="19" t="s">
        <v>266</v>
      </c>
      <c r="G219" s="391">
        <f>'Yr 1 Operating Statement of Act'!G219</f>
        <v>14770.08</v>
      </c>
      <c r="H219" s="391">
        <f>+G219*1.05</f>
        <v>15508.584000000001</v>
      </c>
      <c r="I219" s="391">
        <f t="shared" ref="I219:K219" si="21">+H219*1.05</f>
        <v>16284.013200000001</v>
      </c>
      <c r="J219" s="391">
        <f t="shared" si="21"/>
        <v>17098.213860000003</v>
      </c>
      <c r="K219" s="391">
        <f t="shared" si="21"/>
        <v>17953.124553000005</v>
      </c>
      <c r="L219" s="456" t="s">
        <v>396</v>
      </c>
    </row>
    <row r="220" spans="1:12" x14ac:dyDescent="0.2">
      <c r="A220" s="219">
        <v>159</v>
      </c>
      <c r="B220" s="36"/>
      <c r="C220" s="9" t="s">
        <v>186</v>
      </c>
      <c r="D220" s="9"/>
      <c r="E220" s="18" t="s">
        <v>187</v>
      </c>
      <c r="F220" s="19" t="s">
        <v>266</v>
      </c>
      <c r="G220" s="391">
        <f>'Yr 1 Operating Statement of Act'!G220</f>
        <v>15965</v>
      </c>
      <c r="H220" s="391">
        <f>+G220</f>
        <v>15965</v>
      </c>
      <c r="I220" s="391">
        <f t="shared" ref="I220:K220" si="22">+H220</f>
        <v>15965</v>
      </c>
      <c r="J220" s="391">
        <f t="shared" si="22"/>
        <v>15965</v>
      </c>
      <c r="K220" s="391">
        <f t="shared" si="22"/>
        <v>15965</v>
      </c>
      <c r="L220" s="472" t="s">
        <v>397</v>
      </c>
    </row>
    <row r="221" spans="1:12" x14ac:dyDescent="0.2">
      <c r="A221" s="219">
        <v>160</v>
      </c>
      <c r="B221" s="36"/>
      <c r="C221" s="9" t="s">
        <v>188</v>
      </c>
      <c r="D221" s="9"/>
      <c r="E221" s="18" t="s">
        <v>189</v>
      </c>
      <c r="F221" s="19" t="s">
        <v>266</v>
      </c>
      <c r="G221" s="391">
        <f>'Yr 1 Operating Statement of Act'!G221</f>
        <v>3733.75</v>
      </c>
      <c r="H221" s="391">
        <f t="shared" ref="H221:K222" si="23">+G221</f>
        <v>3733.75</v>
      </c>
      <c r="I221" s="391">
        <f t="shared" si="23"/>
        <v>3733.75</v>
      </c>
      <c r="J221" s="391">
        <f t="shared" si="23"/>
        <v>3733.75</v>
      </c>
      <c r="K221" s="391">
        <f t="shared" si="23"/>
        <v>3733.75</v>
      </c>
      <c r="L221" s="456" t="s">
        <v>398</v>
      </c>
    </row>
    <row r="222" spans="1:12" x14ac:dyDescent="0.2">
      <c r="A222" s="219">
        <v>161</v>
      </c>
      <c r="B222" s="36"/>
      <c r="C222" s="9" t="s">
        <v>190</v>
      </c>
      <c r="D222" s="9"/>
      <c r="E222" s="18" t="s">
        <v>191</v>
      </c>
      <c r="F222" s="19" t="s">
        <v>266</v>
      </c>
      <c r="G222" s="391">
        <f>'Yr 1 Operating Statement of Act'!G222</f>
        <v>12875</v>
      </c>
      <c r="H222" s="391">
        <f t="shared" si="23"/>
        <v>12875</v>
      </c>
      <c r="I222" s="391">
        <f t="shared" si="23"/>
        <v>12875</v>
      </c>
      <c r="J222" s="391">
        <f t="shared" si="23"/>
        <v>12875</v>
      </c>
      <c r="K222" s="391">
        <f t="shared" si="23"/>
        <v>12875</v>
      </c>
      <c r="L222" s="456" t="s">
        <v>399</v>
      </c>
    </row>
    <row r="223" spans="1:12" x14ac:dyDescent="0.2">
      <c r="A223" s="219">
        <v>162</v>
      </c>
      <c r="B223" s="36"/>
      <c r="C223" s="9" t="s">
        <v>192</v>
      </c>
      <c r="D223" s="9"/>
      <c r="E223" s="18" t="s">
        <v>193</v>
      </c>
      <c r="F223" s="19" t="s">
        <v>266</v>
      </c>
      <c r="G223" s="391">
        <f>'Yr 1 Operating Statement of Act'!G223</f>
        <v>0</v>
      </c>
      <c r="H223" s="391"/>
      <c r="I223" s="391"/>
      <c r="J223" s="391"/>
      <c r="K223" s="400"/>
      <c r="L223" s="456"/>
    </row>
    <row r="224" spans="1:12" x14ac:dyDescent="0.2">
      <c r="A224" s="219">
        <v>163</v>
      </c>
      <c r="B224" s="36"/>
      <c r="C224" s="9" t="s">
        <v>194</v>
      </c>
      <c r="D224" s="9"/>
      <c r="E224" s="18" t="s">
        <v>195</v>
      </c>
      <c r="F224" s="19" t="s">
        <v>266</v>
      </c>
      <c r="G224" s="391">
        <f>'Yr 1 Operating Statement of Act'!G224</f>
        <v>0</v>
      </c>
      <c r="H224" s="391"/>
      <c r="I224" s="391"/>
      <c r="J224" s="391"/>
      <c r="K224" s="400"/>
      <c r="L224" s="456"/>
    </row>
    <row r="225" spans="1:12" x14ac:dyDescent="0.2">
      <c r="A225" s="219">
        <v>164</v>
      </c>
      <c r="B225" s="36"/>
      <c r="C225" s="85" t="s">
        <v>196</v>
      </c>
      <c r="D225" s="9"/>
      <c r="E225" s="18"/>
      <c r="F225" s="19"/>
      <c r="G225" s="391">
        <f>'Yr 1 Operating Statement of Act'!G225</f>
        <v>0</v>
      </c>
      <c r="H225" s="391"/>
      <c r="I225" s="391"/>
      <c r="J225" s="391"/>
      <c r="K225" s="400"/>
      <c r="L225" s="472"/>
    </row>
    <row r="226" spans="1:12" x14ac:dyDescent="0.2">
      <c r="A226" s="219">
        <v>165</v>
      </c>
      <c r="B226" s="36"/>
      <c r="C226" s="85"/>
      <c r="D226" s="9"/>
      <c r="E226" s="18"/>
      <c r="F226" s="19"/>
      <c r="G226" s="391">
        <f>'Yr 1 Operating Statement of Act'!G226</f>
        <v>0</v>
      </c>
      <c r="H226" s="391"/>
      <c r="I226" s="391"/>
      <c r="J226" s="391"/>
      <c r="K226" s="400"/>
      <c r="L226" s="472"/>
    </row>
    <row r="227" spans="1:12" x14ac:dyDescent="0.2">
      <c r="A227" s="219">
        <v>166</v>
      </c>
      <c r="B227" s="83"/>
      <c r="D227" s="13"/>
      <c r="E227" s="14"/>
      <c r="F227" s="15"/>
      <c r="G227" s="412">
        <f>'Yr 1 Operating Statement of Act'!G227</f>
        <v>0</v>
      </c>
      <c r="H227" s="412"/>
      <c r="I227" s="412"/>
      <c r="J227" s="412"/>
      <c r="K227" s="413"/>
      <c r="L227" s="485"/>
    </row>
    <row r="228" spans="1:12" ht="15" x14ac:dyDescent="0.25">
      <c r="A228" s="220">
        <v>167</v>
      </c>
      <c r="B228" s="87" t="s">
        <v>267</v>
      </c>
      <c r="C228" s="51"/>
      <c r="D228" s="51"/>
      <c r="E228" s="49"/>
      <c r="F228" s="50"/>
      <c r="G228" s="415">
        <f>SUM(G206:G227)</f>
        <v>561437.3019100636</v>
      </c>
      <c r="H228" s="415">
        <f>SUM(H207:H227)</f>
        <v>573780.30772252753</v>
      </c>
      <c r="I228" s="415">
        <f>SUM(I207:I227)</f>
        <v>586160.23873499152</v>
      </c>
      <c r="J228" s="415">
        <f>SUM(J207:J227)</f>
        <v>598578.94120745524</v>
      </c>
      <c r="K228" s="402">
        <f>SUM(K207:K227)</f>
        <v>611038.35371291894</v>
      </c>
      <c r="L228" s="486"/>
    </row>
    <row r="229" spans="1:12" ht="6.75" customHeight="1" x14ac:dyDescent="0.2">
      <c r="A229" s="224"/>
      <c r="B229" s="35"/>
      <c r="C229" s="12"/>
      <c r="D229" s="12"/>
      <c r="E229" s="16"/>
      <c r="F229" s="17"/>
      <c r="G229" s="417"/>
      <c r="H229" s="417"/>
      <c r="I229" s="417"/>
      <c r="J229" s="417"/>
      <c r="K229" s="418"/>
      <c r="L229" s="491"/>
    </row>
    <row r="230" spans="1:12" s="4" customFormat="1" ht="15" x14ac:dyDescent="0.25">
      <c r="A230" s="219"/>
      <c r="B230" s="88" t="s">
        <v>268</v>
      </c>
      <c r="C230" s="53"/>
      <c r="D230" s="53"/>
      <c r="E230" s="63"/>
      <c r="F230" s="64"/>
      <c r="G230" s="142"/>
      <c r="H230" s="142"/>
      <c r="I230" s="142"/>
      <c r="J230" s="142"/>
      <c r="K230" s="143"/>
      <c r="L230" s="487"/>
    </row>
    <row r="231" spans="1:12" x14ac:dyDescent="0.2">
      <c r="A231" s="219"/>
      <c r="B231" s="36">
        <v>90</v>
      </c>
      <c r="C231" s="9" t="s">
        <v>269</v>
      </c>
      <c r="D231" s="9"/>
      <c r="E231" s="67"/>
      <c r="F231" s="68"/>
      <c r="G231" s="419"/>
      <c r="H231" s="419"/>
      <c r="I231" s="419"/>
      <c r="J231" s="419"/>
      <c r="K231" s="420"/>
      <c r="L231" s="492"/>
    </row>
    <row r="232" spans="1:12" x14ac:dyDescent="0.2">
      <c r="A232" s="219"/>
      <c r="B232" s="36"/>
      <c r="C232" s="9" t="s">
        <v>270</v>
      </c>
      <c r="D232" s="9"/>
      <c r="E232" s="71"/>
      <c r="F232" s="72"/>
      <c r="G232" s="385"/>
      <c r="H232" s="385"/>
      <c r="I232" s="385"/>
      <c r="J232" s="385"/>
      <c r="K232" s="398"/>
      <c r="L232" s="493"/>
    </row>
    <row r="233" spans="1:12" x14ac:dyDescent="0.2">
      <c r="A233" s="219">
        <v>168</v>
      </c>
      <c r="B233" s="36"/>
      <c r="C233" s="9" t="s">
        <v>271</v>
      </c>
      <c r="D233" s="9" t="s">
        <v>160</v>
      </c>
      <c r="E233" s="18" t="s">
        <v>272</v>
      </c>
      <c r="F233" s="19" t="s">
        <v>273</v>
      </c>
      <c r="G233" s="412">
        <f>'Yr 1 Operating Statement of Act'!G233</f>
        <v>40000</v>
      </c>
      <c r="H233" s="391">
        <f>+G233</f>
        <v>40000</v>
      </c>
      <c r="I233" s="391">
        <f t="shared" ref="I233:K233" si="24">+H233</f>
        <v>40000</v>
      </c>
      <c r="J233" s="391">
        <f t="shared" si="24"/>
        <v>40000</v>
      </c>
      <c r="K233" s="391">
        <f t="shared" si="24"/>
        <v>40000</v>
      </c>
      <c r="L233" s="456" t="s">
        <v>401</v>
      </c>
    </row>
    <row r="234" spans="1:12" x14ac:dyDescent="0.2">
      <c r="A234" s="219">
        <v>169</v>
      </c>
      <c r="B234" s="36"/>
      <c r="C234" s="9"/>
      <c r="D234" s="9" t="s">
        <v>168</v>
      </c>
      <c r="E234" s="18" t="s">
        <v>169</v>
      </c>
      <c r="F234" s="19" t="s">
        <v>274</v>
      </c>
      <c r="G234" s="412">
        <f>'Yr 1 Operating Statement of Act'!G234</f>
        <v>25459.182449392712</v>
      </c>
      <c r="H234" s="391">
        <f>+'Rev &amp; Exp Assumptions'!E40+'Rev &amp; Exp Assumptions'!E55</f>
        <v>26682.299423076925</v>
      </c>
      <c r="I234" s="391">
        <f>+'Rev &amp; Exp Assumptions'!F40+'Rev &amp; Exp Assumptions'!F55</f>
        <v>27905.416396761135</v>
      </c>
      <c r="J234" s="391">
        <f>+'Rev &amp; Exp Assumptions'!G40+'Rev &amp; Exp Assumptions'!G55</f>
        <v>29128.533370445344</v>
      </c>
      <c r="K234" s="400">
        <f>+'Rev &amp; Exp Assumptions'!H40+'Rev &amp; Exp Assumptions'!H55</f>
        <v>30351.650344129557</v>
      </c>
      <c r="L234" s="472" t="s">
        <v>400</v>
      </c>
    </row>
    <row r="235" spans="1:12" x14ac:dyDescent="0.2">
      <c r="A235" s="219">
        <v>170</v>
      </c>
      <c r="B235" s="36"/>
      <c r="C235" s="9"/>
      <c r="D235" s="9" t="s">
        <v>276</v>
      </c>
      <c r="E235" s="18" t="s">
        <v>277</v>
      </c>
      <c r="F235" s="19" t="s">
        <v>274</v>
      </c>
      <c r="G235" s="412">
        <f>'Yr 1 Operating Statement of Act'!G235</f>
        <v>912.47149725274721</v>
      </c>
      <c r="H235" s="391"/>
      <c r="I235" s="391"/>
      <c r="J235" s="391"/>
      <c r="K235" s="400"/>
      <c r="L235" s="472"/>
    </row>
    <row r="236" spans="1:12" x14ac:dyDescent="0.2">
      <c r="A236" s="219">
        <v>171</v>
      </c>
      <c r="B236" s="36"/>
      <c r="C236" s="9"/>
      <c r="D236" s="9" t="s">
        <v>171</v>
      </c>
      <c r="E236" s="18" t="s">
        <v>172</v>
      </c>
      <c r="F236" s="19" t="s">
        <v>274</v>
      </c>
      <c r="G236" s="412">
        <f>'Yr 1 Operating Statement of Act'!G236</f>
        <v>0</v>
      </c>
      <c r="H236" s="391"/>
      <c r="I236" s="391"/>
      <c r="J236" s="391"/>
      <c r="K236" s="400"/>
      <c r="L236" s="472"/>
    </row>
    <row r="237" spans="1:12" x14ac:dyDescent="0.2">
      <c r="A237" s="219">
        <v>172</v>
      </c>
      <c r="B237" s="36"/>
      <c r="C237" s="9"/>
      <c r="D237" s="9" t="s">
        <v>260</v>
      </c>
      <c r="E237" s="18" t="s">
        <v>261</v>
      </c>
      <c r="F237" s="19" t="s">
        <v>274</v>
      </c>
      <c r="G237" s="412">
        <f>'Yr 1 Operating Statement of Act'!G237</f>
        <v>0</v>
      </c>
      <c r="H237" s="391"/>
      <c r="I237" s="391"/>
      <c r="J237" s="391"/>
      <c r="K237" s="400"/>
      <c r="L237" s="472"/>
    </row>
    <row r="238" spans="1:12" x14ac:dyDescent="0.2">
      <c r="A238" s="219">
        <v>173</v>
      </c>
      <c r="B238" s="36"/>
      <c r="C238" s="9"/>
      <c r="D238" s="9" t="s">
        <v>278</v>
      </c>
      <c r="E238" s="18" t="s">
        <v>264</v>
      </c>
      <c r="F238" s="19" t="s">
        <v>274</v>
      </c>
      <c r="G238" s="412">
        <f>'Yr 1 Operating Statement of Act'!G238</f>
        <v>917.67599587912093</v>
      </c>
      <c r="H238" s="391">
        <f>+'Rev &amp; Exp Assumptions'!E28</f>
        <v>971.6569368131868</v>
      </c>
      <c r="I238" s="391">
        <f>+'Rev &amp; Exp Assumptions'!F28</f>
        <v>1025.6378777472528</v>
      </c>
      <c r="J238" s="391">
        <f>+'Rev &amp; Exp Assumptions'!G28</f>
        <v>1079.6188186813188</v>
      </c>
      <c r="K238" s="400">
        <f>+'Rev &amp; Exp Assumptions'!H28</f>
        <v>1133.5997596153845</v>
      </c>
      <c r="L238" s="472" t="s">
        <v>400</v>
      </c>
    </row>
    <row r="239" spans="1:12" x14ac:dyDescent="0.2">
      <c r="A239" s="219">
        <v>174</v>
      </c>
      <c r="B239" s="36"/>
      <c r="C239" s="9"/>
      <c r="D239" s="9" t="s">
        <v>51</v>
      </c>
      <c r="E239" s="18" t="s">
        <v>243</v>
      </c>
      <c r="F239" s="19" t="s">
        <v>274</v>
      </c>
      <c r="G239" s="412">
        <f>'Yr 1 Operating Statement of Act'!G239</f>
        <v>0</v>
      </c>
      <c r="H239" s="391"/>
      <c r="I239" s="391"/>
      <c r="J239" s="391"/>
      <c r="K239" s="400"/>
      <c r="L239" s="472"/>
    </row>
    <row r="240" spans="1:12" x14ac:dyDescent="0.2">
      <c r="A240" s="219">
        <v>175</v>
      </c>
      <c r="B240" s="36"/>
      <c r="C240" s="9"/>
      <c r="D240" s="9" t="s">
        <v>173</v>
      </c>
      <c r="E240" s="18" t="s">
        <v>174</v>
      </c>
      <c r="F240" s="19" t="s">
        <v>274</v>
      </c>
      <c r="G240" s="412">
        <f>'Yr 1 Operating Statement of Act'!G240</f>
        <v>0</v>
      </c>
      <c r="H240" s="391"/>
      <c r="I240" s="391"/>
      <c r="J240" s="391"/>
      <c r="K240" s="400"/>
      <c r="L240" s="472"/>
    </row>
    <row r="241" spans="1:12" x14ac:dyDescent="0.2">
      <c r="A241" s="219">
        <v>176</v>
      </c>
      <c r="B241" s="36"/>
      <c r="C241" s="9"/>
      <c r="D241" s="9" t="s">
        <v>207</v>
      </c>
      <c r="E241" s="18" t="s">
        <v>177</v>
      </c>
      <c r="F241" s="19" t="s">
        <v>274</v>
      </c>
      <c r="G241" s="412">
        <f>'Yr 1 Operating Statement of Act'!G241</f>
        <v>0</v>
      </c>
      <c r="H241" s="391"/>
      <c r="I241" s="391"/>
      <c r="J241" s="391"/>
      <c r="K241" s="400"/>
      <c r="L241" s="472"/>
    </row>
    <row r="242" spans="1:12" x14ac:dyDescent="0.2">
      <c r="A242" s="219">
        <v>177</v>
      </c>
      <c r="B242" s="36"/>
      <c r="C242" s="9"/>
      <c r="D242" s="9" t="s">
        <v>180</v>
      </c>
      <c r="E242" s="18" t="s">
        <v>181</v>
      </c>
      <c r="F242" s="19" t="s">
        <v>274</v>
      </c>
      <c r="G242" s="412">
        <f>'Yr 1 Operating Statement of Act'!G242</f>
        <v>0</v>
      </c>
      <c r="H242" s="391"/>
      <c r="I242" s="391"/>
      <c r="J242" s="391"/>
      <c r="K242" s="400"/>
      <c r="L242" s="472"/>
    </row>
    <row r="243" spans="1:12" x14ac:dyDescent="0.2">
      <c r="A243" s="219">
        <v>178</v>
      </c>
      <c r="B243" s="36"/>
      <c r="C243" s="9"/>
      <c r="D243" s="9" t="s">
        <v>279</v>
      </c>
      <c r="E243" s="18" t="s">
        <v>280</v>
      </c>
      <c r="F243" s="19" t="s">
        <v>281</v>
      </c>
      <c r="G243" s="412">
        <f>'Yr 1 Operating Statement of Act'!G243</f>
        <v>0</v>
      </c>
      <c r="H243" s="391"/>
      <c r="I243" s="391"/>
      <c r="J243" s="391"/>
      <c r="K243" s="400"/>
      <c r="L243" s="472"/>
    </row>
    <row r="244" spans="1:12" x14ac:dyDescent="0.2">
      <c r="A244" s="219">
        <v>179</v>
      </c>
      <c r="B244" s="36"/>
      <c r="C244" s="9"/>
      <c r="D244" s="9" t="s">
        <v>182</v>
      </c>
      <c r="E244" s="18" t="s">
        <v>183</v>
      </c>
      <c r="F244" s="19" t="s">
        <v>274</v>
      </c>
      <c r="G244" s="412">
        <f>'Yr 1 Operating Statement of Act'!G244</f>
        <v>0</v>
      </c>
      <c r="H244" s="391"/>
      <c r="I244" s="391"/>
      <c r="J244" s="391"/>
      <c r="K244" s="400"/>
      <c r="L244" s="472"/>
    </row>
    <row r="245" spans="1:12" x14ac:dyDescent="0.2">
      <c r="A245" s="219">
        <v>180</v>
      </c>
      <c r="B245" s="36"/>
      <c r="C245" s="9"/>
      <c r="D245" s="9" t="s">
        <v>184</v>
      </c>
      <c r="E245" s="18" t="s">
        <v>185</v>
      </c>
      <c r="F245" s="19" t="s">
        <v>273</v>
      </c>
      <c r="G245" s="412">
        <f>'Yr 1 Operating Statement of Act'!G245</f>
        <v>3692.52</v>
      </c>
      <c r="H245" s="391">
        <f t="shared" ref="H245:K245" si="25">+G245*1.05</f>
        <v>3877.1460000000002</v>
      </c>
      <c r="I245" s="391">
        <f t="shared" si="25"/>
        <v>4071.0033000000003</v>
      </c>
      <c r="J245" s="391">
        <f t="shared" si="25"/>
        <v>4274.5534650000009</v>
      </c>
      <c r="K245" s="391">
        <f t="shared" si="25"/>
        <v>4488.2811382500013</v>
      </c>
      <c r="L245" s="456" t="s">
        <v>396</v>
      </c>
    </row>
    <row r="246" spans="1:12" x14ac:dyDescent="0.2">
      <c r="A246" s="219">
        <v>181</v>
      </c>
      <c r="B246" s="36"/>
      <c r="C246" s="9"/>
      <c r="D246" s="9" t="s">
        <v>186</v>
      </c>
      <c r="E246" s="18" t="s">
        <v>187</v>
      </c>
      <c r="F246" s="19" t="s">
        <v>273</v>
      </c>
      <c r="G246" s="412">
        <f>'Yr 1 Operating Statement of Act'!G246</f>
        <v>2480</v>
      </c>
      <c r="H246" s="391">
        <f>+G246</f>
        <v>2480</v>
      </c>
      <c r="I246" s="391">
        <f t="shared" ref="I246:K246" si="26">+H246</f>
        <v>2480</v>
      </c>
      <c r="J246" s="391">
        <f t="shared" si="26"/>
        <v>2480</v>
      </c>
      <c r="K246" s="391">
        <f t="shared" si="26"/>
        <v>2480</v>
      </c>
      <c r="L246" s="472" t="s">
        <v>397</v>
      </c>
    </row>
    <row r="247" spans="1:12" x14ac:dyDescent="0.2">
      <c r="A247" s="219">
        <v>182</v>
      </c>
      <c r="B247" s="36"/>
      <c r="C247" s="9"/>
      <c r="D247" s="9" t="s">
        <v>188</v>
      </c>
      <c r="E247" s="18" t="s">
        <v>189</v>
      </c>
      <c r="F247" s="19" t="s">
        <v>273</v>
      </c>
      <c r="G247" s="412">
        <f>'Yr 1 Operating Statement of Act'!G247</f>
        <v>580</v>
      </c>
      <c r="H247" s="391">
        <f t="shared" ref="H247:K248" si="27">+G247</f>
        <v>580</v>
      </c>
      <c r="I247" s="391">
        <f t="shared" si="27"/>
        <v>580</v>
      </c>
      <c r="J247" s="391">
        <f t="shared" si="27"/>
        <v>580</v>
      </c>
      <c r="K247" s="391">
        <f t="shared" si="27"/>
        <v>580</v>
      </c>
      <c r="L247" s="456" t="s">
        <v>398</v>
      </c>
    </row>
    <row r="248" spans="1:12" x14ac:dyDescent="0.2">
      <c r="A248" s="219">
        <v>183</v>
      </c>
      <c r="B248" s="36"/>
      <c r="C248" s="9"/>
      <c r="D248" s="9" t="s">
        <v>190</v>
      </c>
      <c r="E248" s="18" t="s">
        <v>191</v>
      </c>
      <c r="F248" s="19" t="s">
        <v>273</v>
      </c>
      <c r="G248" s="412">
        <f>'Yr 1 Operating Statement of Act'!G248</f>
        <v>2000</v>
      </c>
      <c r="H248" s="391">
        <f t="shared" si="27"/>
        <v>2000</v>
      </c>
      <c r="I248" s="391">
        <f t="shared" si="27"/>
        <v>2000</v>
      </c>
      <c r="J248" s="391">
        <f t="shared" si="27"/>
        <v>2000</v>
      </c>
      <c r="K248" s="391">
        <f t="shared" si="27"/>
        <v>2000</v>
      </c>
      <c r="L248" s="456" t="s">
        <v>399</v>
      </c>
    </row>
    <row r="249" spans="1:12" x14ac:dyDescent="0.2">
      <c r="A249" s="219">
        <v>184</v>
      </c>
      <c r="B249" s="36"/>
      <c r="C249" s="9"/>
      <c r="D249" s="9" t="s">
        <v>192</v>
      </c>
      <c r="E249" s="18" t="s">
        <v>193</v>
      </c>
      <c r="F249" s="19" t="s">
        <v>273</v>
      </c>
      <c r="G249" s="412">
        <f>'Yr 1 Operating Statement of Act'!G249</f>
        <v>0</v>
      </c>
      <c r="H249" s="391"/>
      <c r="I249" s="391"/>
      <c r="J249" s="391"/>
      <c r="K249" s="400"/>
      <c r="L249" s="472"/>
    </row>
    <row r="250" spans="1:12" x14ac:dyDescent="0.2">
      <c r="A250" s="219">
        <v>185</v>
      </c>
      <c r="B250" s="36"/>
      <c r="C250" s="9"/>
      <c r="D250" s="9" t="s">
        <v>194</v>
      </c>
      <c r="E250" s="18" t="s">
        <v>195</v>
      </c>
      <c r="F250" s="19" t="s">
        <v>273</v>
      </c>
      <c r="G250" s="412">
        <f>'Yr 1 Operating Statement of Act'!G250</f>
        <v>0</v>
      </c>
      <c r="H250" s="391"/>
      <c r="I250" s="391"/>
      <c r="J250" s="391"/>
      <c r="K250" s="400"/>
      <c r="L250" s="472"/>
    </row>
    <row r="251" spans="1:12" x14ac:dyDescent="0.2">
      <c r="A251" s="219">
        <v>186</v>
      </c>
      <c r="B251" s="36"/>
      <c r="C251" s="85"/>
      <c r="D251" s="9"/>
      <c r="E251" s="18"/>
      <c r="F251" s="19"/>
      <c r="G251" s="412">
        <f>'Yr 1 Operating Statement of Act'!G251</f>
        <v>0</v>
      </c>
      <c r="H251" s="391"/>
      <c r="I251" s="391"/>
      <c r="J251" s="391"/>
      <c r="K251" s="400"/>
      <c r="L251" s="472"/>
    </row>
    <row r="252" spans="1:12" x14ac:dyDescent="0.2">
      <c r="A252" s="219">
        <v>187</v>
      </c>
      <c r="B252" s="83"/>
      <c r="D252" s="13"/>
      <c r="E252" s="14"/>
      <c r="F252" s="15"/>
      <c r="G252" s="412">
        <f>'Yr 1 Operating Statement of Act'!G252</f>
        <v>0</v>
      </c>
      <c r="H252" s="412"/>
      <c r="I252" s="412"/>
      <c r="J252" s="412"/>
      <c r="K252" s="413"/>
      <c r="L252" s="485"/>
    </row>
    <row r="253" spans="1:12" x14ac:dyDescent="0.2">
      <c r="A253" s="220">
        <v>188</v>
      </c>
      <c r="B253" s="87" t="s">
        <v>282</v>
      </c>
      <c r="C253" s="6"/>
      <c r="D253" s="6"/>
      <c r="E253" s="49"/>
      <c r="F253" s="50"/>
      <c r="G253" s="415">
        <f>SUM(G231:G252)</f>
        <v>76041.849942524583</v>
      </c>
      <c r="H253" s="415">
        <f>SUM(H233:H252)</f>
        <v>76591.102359890108</v>
      </c>
      <c r="I253" s="415">
        <f>SUM(I233:I252)</f>
        <v>78062.057574508392</v>
      </c>
      <c r="J253" s="415">
        <f>SUM(J233:J252)</f>
        <v>79542.705654126665</v>
      </c>
      <c r="K253" s="402">
        <f>SUM(K233:K252)</f>
        <v>81033.531241994962</v>
      </c>
      <c r="L253" s="486"/>
    </row>
    <row r="254" spans="1:12" x14ac:dyDescent="0.2">
      <c r="A254" s="224"/>
      <c r="B254" s="35"/>
      <c r="C254" s="12"/>
      <c r="D254" s="12"/>
      <c r="E254" s="71"/>
      <c r="F254" s="72"/>
      <c r="G254" s="385"/>
      <c r="H254" s="385"/>
      <c r="I254" s="385"/>
      <c r="J254" s="385"/>
      <c r="K254" s="398"/>
      <c r="L254" s="493"/>
    </row>
    <row r="255" spans="1:12" s="4" customFormat="1" ht="15" x14ac:dyDescent="0.25">
      <c r="A255" s="219"/>
      <c r="B255" s="88" t="s">
        <v>283</v>
      </c>
      <c r="C255" s="53"/>
      <c r="D255" s="53"/>
      <c r="E255" s="77"/>
      <c r="F255" s="78"/>
      <c r="G255" s="148"/>
      <c r="H255" s="148"/>
      <c r="I255" s="148"/>
      <c r="J255" s="148"/>
      <c r="K255" s="149"/>
      <c r="L255" s="489"/>
    </row>
    <row r="256" spans="1:12" x14ac:dyDescent="0.2">
      <c r="A256" s="219">
        <v>189</v>
      </c>
      <c r="B256" s="36"/>
      <c r="C256" s="9" t="s">
        <v>284</v>
      </c>
      <c r="D256" s="9"/>
      <c r="E256" s="18" t="s">
        <v>272</v>
      </c>
      <c r="F256" s="19" t="s">
        <v>285</v>
      </c>
      <c r="G256" s="391">
        <f>'Yr 1 Operating Statement of Act'!G256</f>
        <v>145000</v>
      </c>
      <c r="H256" s="391">
        <f>+G256</f>
        <v>145000</v>
      </c>
      <c r="I256" s="391">
        <f t="shared" ref="I256:K256" si="28">+H256</f>
        <v>145000</v>
      </c>
      <c r="J256" s="391">
        <f t="shared" si="28"/>
        <v>145000</v>
      </c>
      <c r="K256" s="391">
        <f t="shared" si="28"/>
        <v>145000</v>
      </c>
      <c r="L256" s="456" t="s">
        <v>401</v>
      </c>
    </row>
    <row r="257" spans="1:12" x14ac:dyDescent="0.2">
      <c r="A257" s="219">
        <v>190</v>
      </c>
      <c r="B257" s="36"/>
      <c r="C257" s="9" t="s">
        <v>168</v>
      </c>
      <c r="D257" s="9"/>
      <c r="E257" s="18" t="s">
        <v>169</v>
      </c>
      <c r="F257" s="19" t="s">
        <v>286</v>
      </c>
      <c r="G257" s="391">
        <f>'Yr 1 Operating Statement of Act'!G257</f>
        <v>147409</v>
      </c>
      <c r="H257" s="391">
        <f>+'Rev &amp; Exp Assumptions'!E22+'Rev &amp; Exp Assumptions'!E41+'Rev &amp; Exp Assumptions'!E47</f>
        <v>154970.53195970695</v>
      </c>
      <c r="I257" s="391">
        <f>+'Rev &amp; Exp Assumptions'!F22+'Rev &amp; Exp Assumptions'!F41+'Rev &amp; Exp Assumptions'!F47</f>
        <v>155749.24555860803</v>
      </c>
      <c r="J257" s="391">
        <f>+'Rev &amp; Exp Assumptions'!G22+'Rev &amp; Exp Assumptions'!G41+'Rev &amp; Exp Assumptions'!G47</f>
        <v>156527.95915750915</v>
      </c>
      <c r="K257" s="400">
        <f>+'Rev &amp; Exp Assumptions'!H22+'Rev &amp; Exp Assumptions'!H41+'Rev &amp; Exp Assumptions'!H47</f>
        <v>157306.67275641026</v>
      </c>
      <c r="L257" s="456" t="s">
        <v>401</v>
      </c>
    </row>
    <row r="258" spans="1:12" x14ac:dyDescent="0.2">
      <c r="A258" s="219">
        <v>191</v>
      </c>
      <c r="B258" s="36"/>
      <c r="C258" s="9" t="s">
        <v>260</v>
      </c>
      <c r="D258" s="9"/>
      <c r="E258" s="18" t="s">
        <v>261</v>
      </c>
      <c r="F258" s="19" t="s">
        <v>288</v>
      </c>
      <c r="G258" s="391">
        <f>'Yr 1 Operating Statement of Act'!G258</f>
        <v>0</v>
      </c>
      <c r="H258" s="391"/>
      <c r="I258" s="391"/>
      <c r="J258" s="391"/>
      <c r="K258" s="400"/>
      <c r="L258" s="456"/>
    </row>
    <row r="259" spans="1:12" x14ac:dyDescent="0.2">
      <c r="A259" s="219">
        <v>192</v>
      </c>
      <c r="B259" s="36"/>
      <c r="C259" s="9" t="s">
        <v>289</v>
      </c>
      <c r="D259" s="9"/>
      <c r="E259" s="18" t="s">
        <v>290</v>
      </c>
      <c r="F259" s="19" t="s">
        <v>286</v>
      </c>
      <c r="G259" s="391">
        <f>'Yr 1 Operating Statement of Act'!G259</f>
        <v>0</v>
      </c>
      <c r="H259" s="391"/>
      <c r="I259" s="391"/>
      <c r="J259" s="391"/>
      <c r="K259" s="400"/>
      <c r="L259" s="472"/>
    </row>
    <row r="260" spans="1:12" x14ac:dyDescent="0.2">
      <c r="A260" s="219">
        <v>193</v>
      </c>
      <c r="B260" s="36"/>
      <c r="C260" s="9" t="s">
        <v>207</v>
      </c>
      <c r="D260" s="9"/>
      <c r="E260" s="18" t="s">
        <v>177</v>
      </c>
      <c r="F260" s="19" t="s">
        <v>286</v>
      </c>
      <c r="G260" s="391">
        <f>'Yr 1 Operating Statement of Act'!G260</f>
        <v>0</v>
      </c>
      <c r="H260" s="391"/>
      <c r="I260" s="391"/>
      <c r="J260" s="391"/>
      <c r="K260" s="400"/>
      <c r="L260" s="456"/>
    </row>
    <row r="261" spans="1:12" x14ac:dyDescent="0.2">
      <c r="A261" s="219">
        <v>194</v>
      </c>
      <c r="B261" s="36"/>
      <c r="C261" s="9" t="s">
        <v>291</v>
      </c>
      <c r="D261" s="9"/>
      <c r="E261" s="18" t="s">
        <v>292</v>
      </c>
      <c r="F261" s="19" t="s">
        <v>286</v>
      </c>
      <c r="G261" s="391">
        <f>'Yr 1 Operating Statement of Act'!G261</f>
        <v>0</v>
      </c>
      <c r="H261" s="391"/>
      <c r="I261" s="391"/>
      <c r="J261" s="391"/>
      <c r="K261" s="400"/>
      <c r="L261" s="472"/>
    </row>
    <row r="262" spans="1:12" x14ac:dyDescent="0.2">
      <c r="A262" s="219">
        <v>195</v>
      </c>
      <c r="B262" s="36"/>
      <c r="C262" s="9" t="s">
        <v>180</v>
      </c>
      <c r="D262" s="9"/>
      <c r="E262" s="18" t="s">
        <v>181</v>
      </c>
      <c r="F262" s="19" t="s">
        <v>286</v>
      </c>
      <c r="G262" s="391">
        <f>'Yr 1 Operating Statement of Act'!G262</f>
        <v>0</v>
      </c>
      <c r="H262" s="391"/>
      <c r="I262" s="391"/>
      <c r="J262" s="391"/>
      <c r="K262" s="400"/>
      <c r="L262" s="472"/>
    </row>
    <row r="263" spans="1:12" x14ac:dyDescent="0.2">
      <c r="A263" s="219">
        <v>196</v>
      </c>
      <c r="B263" s="36"/>
      <c r="C263" s="9" t="s">
        <v>182</v>
      </c>
      <c r="D263" s="9"/>
      <c r="E263" s="18" t="s">
        <v>183</v>
      </c>
      <c r="F263" s="19" t="s">
        <v>286</v>
      </c>
      <c r="G263" s="391">
        <f>'Yr 1 Operating Statement of Act'!G263</f>
        <v>0</v>
      </c>
      <c r="H263" s="391"/>
      <c r="I263" s="391"/>
      <c r="J263" s="391"/>
      <c r="K263" s="400"/>
      <c r="L263" s="472"/>
    </row>
    <row r="264" spans="1:12" x14ac:dyDescent="0.2">
      <c r="A264" s="219"/>
      <c r="B264" s="36"/>
      <c r="C264" s="9" t="s">
        <v>293</v>
      </c>
      <c r="D264" s="9"/>
      <c r="E264" s="61"/>
      <c r="F264" s="62"/>
      <c r="G264" s="388"/>
      <c r="H264" s="388"/>
      <c r="I264" s="388"/>
      <c r="J264" s="388"/>
      <c r="K264" s="399"/>
      <c r="L264" s="471"/>
    </row>
    <row r="265" spans="1:12" x14ac:dyDescent="0.2">
      <c r="A265" s="219">
        <v>197</v>
      </c>
      <c r="B265" s="36"/>
      <c r="C265" s="9"/>
      <c r="D265" s="9" t="s">
        <v>294</v>
      </c>
      <c r="E265" s="18" t="s">
        <v>290</v>
      </c>
      <c r="F265" s="19" t="s">
        <v>295</v>
      </c>
      <c r="G265" s="391">
        <f>'Yr 1 Operating Statement of Act'!G265</f>
        <v>0</v>
      </c>
      <c r="H265" s="391"/>
      <c r="I265" s="391"/>
      <c r="J265" s="391"/>
      <c r="K265" s="400"/>
      <c r="L265" s="472"/>
    </row>
    <row r="266" spans="1:12" x14ac:dyDescent="0.2">
      <c r="A266" s="219">
        <v>198</v>
      </c>
      <c r="B266" s="36"/>
      <c r="C266" s="9"/>
      <c r="D266" s="9" t="s">
        <v>296</v>
      </c>
      <c r="E266" s="18" t="s">
        <v>297</v>
      </c>
      <c r="F266" s="19" t="s">
        <v>295</v>
      </c>
      <c r="G266" s="391">
        <f>'Yr 1 Operating Statement of Act'!G266</f>
        <v>0</v>
      </c>
      <c r="H266" s="391"/>
      <c r="I266" s="391"/>
      <c r="J266" s="391"/>
      <c r="K266" s="400"/>
      <c r="L266" s="472"/>
    </row>
    <row r="267" spans="1:12" x14ac:dyDescent="0.2">
      <c r="A267" s="219">
        <v>199</v>
      </c>
      <c r="B267" s="36"/>
      <c r="C267" s="9"/>
      <c r="D267" s="9" t="s">
        <v>298</v>
      </c>
      <c r="E267" s="18" t="s">
        <v>299</v>
      </c>
      <c r="F267" s="19" t="s">
        <v>295</v>
      </c>
      <c r="G267" s="391">
        <f>'Yr 1 Operating Statement of Act'!G267</f>
        <v>6822</v>
      </c>
      <c r="H267" s="391">
        <f>+'Rev &amp; Exp Assumptions'!E21</f>
        <v>7223.5790109890113</v>
      </c>
      <c r="I267" s="391">
        <f>+'Rev &amp; Exp Assumptions'!F21</f>
        <v>7624.8889560439566</v>
      </c>
      <c r="J267" s="391">
        <f>+'Rev &amp; Exp Assumptions'!G21</f>
        <v>8026.1989010989009</v>
      </c>
      <c r="K267" s="391">
        <f>+'Rev &amp; Exp Assumptions'!H21</f>
        <v>8427.5088461538471</v>
      </c>
      <c r="L267" s="472" t="s">
        <v>400</v>
      </c>
    </row>
    <row r="268" spans="1:12" x14ac:dyDescent="0.2">
      <c r="A268" s="219">
        <v>200</v>
      </c>
      <c r="B268" s="36"/>
      <c r="C268" s="9"/>
      <c r="D268" s="9" t="s">
        <v>300</v>
      </c>
      <c r="E268" s="18" t="s">
        <v>301</v>
      </c>
      <c r="F268" s="19" t="s">
        <v>295</v>
      </c>
      <c r="G268" s="391">
        <f>'Yr 1 Operating Statement of Act'!G268</f>
        <v>191646</v>
      </c>
      <c r="H268" s="391">
        <f>+G268</f>
        <v>191646</v>
      </c>
      <c r="I268" s="391">
        <f t="shared" ref="I268:K268" si="29">+H268</f>
        <v>191646</v>
      </c>
      <c r="J268" s="391">
        <f t="shared" si="29"/>
        <v>191646</v>
      </c>
      <c r="K268" s="391">
        <f t="shared" si="29"/>
        <v>191646</v>
      </c>
      <c r="L268" s="472" t="s">
        <v>400</v>
      </c>
    </row>
    <row r="269" spans="1:12" x14ac:dyDescent="0.2">
      <c r="A269" s="219">
        <v>201</v>
      </c>
      <c r="B269" s="36"/>
      <c r="C269" s="9"/>
      <c r="D269" s="9" t="s">
        <v>171</v>
      </c>
      <c r="E269" s="18" t="s">
        <v>172</v>
      </c>
      <c r="F269" s="19" t="s">
        <v>295</v>
      </c>
      <c r="G269" s="391">
        <f>'Yr 1 Operating Statement of Act'!G269</f>
        <v>202787</v>
      </c>
      <c r="H269" s="391">
        <f>+G269</f>
        <v>202787</v>
      </c>
      <c r="I269" s="391">
        <f t="shared" ref="I269:K269" si="30">+H269</f>
        <v>202787</v>
      </c>
      <c r="J269" s="391">
        <f t="shared" si="30"/>
        <v>202787</v>
      </c>
      <c r="K269" s="391">
        <f t="shared" si="30"/>
        <v>202787</v>
      </c>
      <c r="L269" s="472" t="s">
        <v>400</v>
      </c>
    </row>
    <row r="270" spans="1:12" x14ac:dyDescent="0.2">
      <c r="A270" s="219">
        <v>202</v>
      </c>
      <c r="B270" s="36"/>
      <c r="C270" s="9"/>
      <c r="D270" s="9" t="s">
        <v>302</v>
      </c>
      <c r="E270" s="18" t="s">
        <v>303</v>
      </c>
      <c r="F270" s="19" t="s">
        <v>295</v>
      </c>
      <c r="G270" s="391">
        <f>'Yr 1 Operating Statement of Act'!G270</f>
        <v>70168</v>
      </c>
      <c r="H270" s="391">
        <f>+G270</f>
        <v>70168</v>
      </c>
      <c r="I270" s="391">
        <f t="shared" ref="I270:K270" si="31">+H270</f>
        <v>70168</v>
      </c>
      <c r="J270" s="391">
        <f t="shared" si="31"/>
        <v>70168</v>
      </c>
      <c r="K270" s="391">
        <f t="shared" si="31"/>
        <v>70168</v>
      </c>
      <c r="L270" s="472" t="s">
        <v>400</v>
      </c>
    </row>
    <row r="271" spans="1:12" x14ac:dyDescent="0.2">
      <c r="A271" s="219">
        <v>203</v>
      </c>
      <c r="B271" s="36"/>
      <c r="C271" s="9"/>
      <c r="D271" s="9" t="s">
        <v>304</v>
      </c>
      <c r="E271" s="18" t="s">
        <v>264</v>
      </c>
      <c r="F271" s="19" t="s">
        <v>295</v>
      </c>
      <c r="G271" s="391">
        <f>'Yr 1 Operating Statement of Act'!G271</f>
        <v>65294</v>
      </c>
      <c r="H271" s="391">
        <f>+G271</f>
        <v>65294</v>
      </c>
      <c r="I271" s="391">
        <f t="shared" ref="I271:K271" si="32">+H271</f>
        <v>65294</v>
      </c>
      <c r="J271" s="391">
        <f t="shared" si="32"/>
        <v>65294</v>
      </c>
      <c r="K271" s="391">
        <f t="shared" si="32"/>
        <v>65294</v>
      </c>
      <c r="L271" s="472" t="s">
        <v>400</v>
      </c>
    </row>
    <row r="272" spans="1:12" x14ac:dyDescent="0.2">
      <c r="A272" s="219">
        <v>204</v>
      </c>
      <c r="B272" s="36"/>
      <c r="C272" s="9"/>
      <c r="D272" s="9" t="s">
        <v>305</v>
      </c>
      <c r="E272" s="18" t="s">
        <v>306</v>
      </c>
      <c r="F272" s="19" t="s">
        <v>295</v>
      </c>
      <c r="G272" s="391">
        <f>'Yr 1 Operating Statement of Act'!G272</f>
        <v>230088</v>
      </c>
      <c r="H272" s="391">
        <f>+G272</f>
        <v>230088</v>
      </c>
      <c r="I272" s="391">
        <f t="shared" ref="I272:K272" si="33">+H272</f>
        <v>230088</v>
      </c>
      <c r="J272" s="391">
        <f t="shared" si="33"/>
        <v>230088</v>
      </c>
      <c r="K272" s="391">
        <f t="shared" si="33"/>
        <v>230088</v>
      </c>
      <c r="L272" s="472" t="s">
        <v>400</v>
      </c>
    </row>
    <row r="273" spans="1:12" x14ac:dyDescent="0.2">
      <c r="A273" s="219">
        <v>205</v>
      </c>
      <c r="B273" s="36"/>
      <c r="C273" s="9" t="s">
        <v>307</v>
      </c>
      <c r="D273" s="9"/>
      <c r="E273" s="18" t="s">
        <v>308</v>
      </c>
      <c r="F273" s="19">
        <v>2630</v>
      </c>
      <c r="G273" s="391">
        <f>'Yr 1 Operating Statement of Act'!G273</f>
        <v>0</v>
      </c>
      <c r="H273" s="391"/>
      <c r="I273" s="391"/>
      <c r="J273" s="391"/>
      <c r="K273" s="400"/>
      <c r="L273" s="472"/>
    </row>
    <row r="274" spans="1:12" x14ac:dyDescent="0.2">
      <c r="A274" s="219">
        <v>206</v>
      </c>
      <c r="B274" s="36"/>
      <c r="C274" s="9" t="s">
        <v>309</v>
      </c>
      <c r="D274" s="9"/>
      <c r="E274" s="18" t="s">
        <v>308</v>
      </c>
      <c r="F274" s="19">
        <v>2640</v>
      </c>
      <c r="G274" s="391">
        <f>'Yr 1 Operating Statement of Act'!G274</f>
        <v>0</v>
      </c>
      <c r="H274" s="391"/>
      <c r="I274" s="391"/>
      <c r="J274" s="391"/>
      <c r="K274" s="400"/>
      <c r="L274" s="472"/>
    </row>
    <row r="275" spans="1:12" x14ac:dyDescent="0.2">
      <c r="A275" s="219">
        <v>207</v>
      </c>
      <c r="B275" s="36"/>
      <c r="C275" s="9" t="s">
        <v>310</v>
      </c>
      <c r="D275" s="9"/>
      <c r="E275" s="18" t="s">
        <v>212</v>
      </c>
      <c r="F275" s="19" t="s">
        <v>285</v>
      </c>
      <c r="G275" s="391">
        <f>'Yr 1 Operating Statement of Act'!G275</f>
        <v>0</v>
      </c>
      <c r="H275" s="391"/>
      <c r="I275" s="391"/>
      <c r="J275" s="391"/>
      <c r="K275" s="400"/>
      <c r="L275" s="472"/>
    </row>
    <row r="276" spans="1:12" x14ac:dyDescent="0.2">
      <c r="A276" s="219">
        <v>208</v>
      </c>
      <c r="B276" s="36"/>
      <c r="C276" s="9" t="s">
        <v>184</v>
      </c>
      <c r="D276" s="9"/>
      <c r="E276" s="18" t="s">
        <v>185</v>
      </c>
      <c r="F276" s="19" t="s">
        <v>285</v>
      </c>
      <c r="G276" s="391">
        <f>'Yr 1 Operating Statement of Act'!G276</f>
        <v>11077.56</v>
      </c>
      <c r="H276" s="391">
        <f t="shared" ref="H276:K276" si="34">+G276*1.05</f>
        <v>11631.438</v>
      </c>
      <c r="I276" s="391">
        <f t="shared" si="34"/>
        <v>12213.009900000001</v>
      </c>
      <c r="J276" s="391">
        <f t="shared" si="34"/>
        <v>12823.660395000001</v>
      </c>
      <c r="K276" s="391">
        <f t="shared" si="34"/>
        <v>13464.843414750001</v>
      </c>
      <c r="L276" s="456" t="s">
        <v>396</v>
      </c>
    </row>
    <row r="277" spans="1:12" x14ac:dyDescent="0.2">
      <c r="A277" s="219">
        <v>209</v>
      </c>
      <c r="B277" s="36"/>
      <c r="C277" s="9" t="s">
        <v>186</v>
      </c>
      <c r="D277" s="9"/>
      <c r="E277" s="18" t="s">
        <v>187</v>
      </c>
      <c r="F277" s="19" t="s">
        <v>285</v>
      </c>
      <c r="G277" s="391">
        <f>'Yr 1 Operating Statement of Act'!G277</f>
        <v>8990</v>
      </c>
      <c r="H277" s="391">
        <f>+G277</f>
        <v>8990</v>
      </c>
      <c r="I277" s="391">
        <f t="shared" ref="I277:K277" si="35">+H277</f>
        <v>8990</v>
      </c>
      <c r="J277" s="391">
        <f t="shared" si="35"/>
        <v>8990</v>
      </c>
      <c r="K277" s="391">
        <f t="shared" si="35"/>
        <v>8990</v>
      </c>
      <c r="L277" s="472" t="s">
        <v>397</v>
      </c>
    </row>
    <row r="278" spans="1:12" x14ac:dyDescent="0.2">
      <c r="A278" s="219">
        <v>210</v>
      </c>
      <c r="B278" s="36"/>
      <c r="C278" s="9" t="s">
        <v>188</v>
      </c>
      <c r="D278" s="9"/>
      <c r="E278" s="18" t="s">
        <v>189</v>
      </c>
      <c r="F278" s="19" t="s">
        <v>285</v>
      </c>
      <c r="G278" s="391">
        <f>'Yr 1 Operating Statement of Act'!G278</f>
        <v>2102.5</v>
      </c>
      <c r="H278" s="391">
        <f t="shared" ref="H278:K279" si="36">+G278</f>
        <v>2102.5</v>
      </c>
      <c r="I278" s="391">
        <f t="shared" si="36"/>
        <v>2102.5</v>
      </c>
      <c r="J278" s="391">
        <f t="shared" si="36"/>
        <v>2102.5</v>
      </c>
      <c r="K278" s="391">
        <f t="shared" si="36"/>
        <v>2102.5</v>
      </c>
      <c r="L278" s="456" t="s">
        <v>398</v>
      </c>
    </row>
    <row r="279" spans="1:12" x14ac:dyDescent="0.2">
      <c r="A279" s="219">
        <v>211</v>
      </c>
      <c r="B279" s="36"/>
      <c r="C279" s="9" t="s">
        <v>190</v>
      </c>
      <c r="D279" s="9"/>
      <c r="E279" s="18" t="s">
        <v>191</v>
      </c>
      <c r="F279" s="19" t="s">
        <v>285</v>
      </c>
      <c r="G279" s="391">
        <f>'Yr 1 Operating Statement of Act'!G279</f>
        <v>6250</v>
      </c>
      <c r="H279" s="391">
        <f t="shared" si="36"/>
        <v>6250</v>
      </c>
      <c r="I279" s="391">
        <f t="shared" si="36"/>
        <v>6250</v>
      </c>
      <c r="J279" s="391">
        <f t="shared" si="36"/>
        <v>6250</v>
      </c>
      <c r="K279" s="391">
        <f t="shared" si="36"/>
        <v>6250</v>
      </c>
      <c r="L279" s="456" t="s">
        <v>399</v>
      </c>
    </row>
    <row r="280" spans="1:12" x14ac:dyDescent="0.2">
      <c r="A280" s="219">
        <v>212</v>
      </c>
      <c r="B280" s="36"/>
      <c r="C280" s="9" t="s">
        <v>192</v>
      </c>
      <c r="D280" s="9"/>
      <c r="E280" s="18" t="s">
        <v>193</v>
      </c>
      <c r="F280" s="19" t="s">
        <v>285</v>
      </c>
      <c r="G280" s="391">
        <f>'Yr 1 Operating Statement of Act'!G280</f>
        <v>0</v>
      </c>
      <c r="H280" s="391"/>
      <c r="I280" s="391"/>
      <c r="J280" s="391"/>
      <c r="K280" s="400"/>
      <c r="L280" s="456"/>
    </row>
    <row r="281" spans="1:12" x14ac:dyDescent="0.2">
      <c r="A281" s="219">
        <v>213</v>
      </c>
      <c r="B281" s="36"/>
      <c r="C281" s="9" t="s">
        <v>194</v>
      </c>
      <c r="D281" s="9"/>
      <c r="E281" s="18" t="s">
        <v>195</v>
      </c>
      <c r="F281" s="19" t="s">
        <v>285</v>
      </c>
      <c r="G281" s="391">
        <f>'Yr 1 Operating Statement of Act'!G281</f>
        <v>0</v>
      </c>
      <c r="H281" s="391"/>
      <c r="I281" s="391"/>
      <c r="J281" s="391"/>
      <c r="K281" s="400"/>
      <c r="L281" s="456"/>
    </row>
    <row r="282" spans="1:12" x14ac:dyDescent="0.2">
      <c r="A282" s="219">
        <v>214</v>
      </c>
      <c r="B282" s="36"/>
      <c r="C282" s="85" t="s">
        <v>196</v>
      </c>
      <c r="D282" s="9"/>
      <c r="E282" s="18"/>
      <c r="F282" s="19"/>
      <c r="G282" s="391">
        <f>'Yr 1 Operating Statement of Act'!G282</f>
        <v>0</v>
      </c>
      <c r="H282" s="391"/>
      <c r="I282" s="391"/>
      <c r="J282" s="391"/>
      <c r="K282" s="400"/>
      <c r="L282" s="472"/>
    </row>
    <row r="283" spans="1:12" x14ac:dyDescent="0.2">
      <c r="A283" s="219">
        <v>215</v>
      </c>
      <c r="B283" s="36"/>
      <c r="C283" s="85"/>
      <c r="D283" s="9"/>
      <c r="E283" s="18"/>
      <c r="F283" s="19"/>
      <c r="G283" s="391">
        <f>'Yr 1 Operating Statement of Act'!G283</f>
        <v>0</v>
      </c>
      <c r="H283" s="391"/>
      <c r="I283" s="391"/>
      <c r="J283" s="391"/>
      <c r="K283" s="400"/>
      <c r="L283" s="472"/>
    </row>
    <row r="284" spans="1:12" x14ac:dyDescent="0.2">
      <c r="A284" s="219">
        <v>216</v>
      </c>
      <c r="B284" s="36"/>
      <c r="C284" s="9"/>
      <c r="D284" s="9"/>
      <c r="E284" s="18"/>
      <c r="F284" s="19"/>
      <c r="G284" s="391">
        <f>'Yr 1 Operating Statement of Act'!G284</f>
        <v>0</v>
      </c>
      <c r="H284" s="391"/>
      <c r="I284" s="391"/>
      <c r="J284" s="391"/>
      <c r="K284" s="400"/>
      <c r="L284" s="472"/>
    </row>
    <row r="285" spans="1:12" ht="15" x14ac:dyDescent="0.25">
      <c r="A285" s="220">
        <v>217</v>
      </c>
      <c r="B285" s="87" t="s">
        <v>311</v>
      </c>
      <c r="C285" s="51"/>
      <c r="D285" s="51"/>
      <c r="E285" s="49"/>
      <c r="F285" s="50"/>
      <c r="G285" s="415">
        <f>SUM(G256:G284)</f>
        <v>1087634.06</v>
      </c>
      <c r="H285" s="415">
        <f>SUM(H256:H284)</f>
        <v>1096151.0489706961</v>
      </c>
      <c r="I285" s="415">
        <f>SUM(I256:I284)</f>
        <v>1097912.6444146519</v>
      </c>
      <c r="J285" s="415">
        <f>SUM(J256:J284)</f>
        <v>1099703.3184536078</v>
      </c>
      <c r="K285" s="402">
        <f>SUM(K256:K284)</f>
        <v>1101524.5250173141</v>
      </c>
      <c r="L285" s="486"/>
    </row>
    <row r="286" spans="1:12" x14ac:dyDescent="0.2">
      <c r="A286" s="219"/>
      <c r="B286" s="36"/>
      <c r="C286" s="9"/>
      <c r="D286" s="9"/>
      <c r="E286" s="61"/>
      <c r="F286" s="62"/>
      <c r="G286" s="388"/>
      <c r="H286" s="388"/>
      <c r="I286" s="388"/>
      <c r="J286" s="388"/>
      <c r="K286" s="399"/>
      <c r="L286" s="471"/>
    </row>
    <row r="287" spans="1:12" s="4" customFormat="1" ht="15" x14ac:dyDescent="0.25">
      <c r="A287" s="219"/>
      <c r="B287" s="88" t="s">
        <v>312</v>
      </c>
      <c r="C287" s="53"/>
      <c r="D287" s="53"/>
      <c r="E287" s="77"/>
      <c r="F287" s="78"/>
      <c r="G287" s="148"/>
      <c r="H287" s="148"/>
      <c r="I287" s="148"/>
      <c r="J287" s="148"/>
      <c r="K287" s="149"/>
      <c r="L287" s="489"/>
    </row>
    <row r="288" spans="1:12" x14ac:dyDescent="0.2">
      <c r="A288" s="219">
        <v>218</v>
      </c>
      <c r="B288" s="36"/>
      <c r="C288" s="9" t="s">
        <v>168</v>
      </c>
      <c r="D288" s="9"/>
      <c r="E288" s="18" t="s">
        <v>313</v>
      </c>
      <c r="F288" s="19" t="s">
        <v>314</v>
      </c>
      <c r="G288" s="391">
        <f>'Yr 1 Operating Statement of Act'!G288</f>
        <v>301408.96668956045</v>
      </c>
      <c r="H288" s="391">
        <f>+'Rev &amp; Exp Assumptions'!E32</f>
        <v>319138.90590659343</v>
      </c>
      <c r="I288" s="391">
        <f>+'Rev &amp; Exp Assumptions'!F32</f>
        <v>336868.84512362635</v>
      </c>
      <c r="J288" s="391">
        <f>+'Rev &amp; Exp Assumptions'!G32</f>
        <v>354598.78434065933</v>
      </c>
      <c r="K288" s="400">
        <f>+'Rev &amp; Exp Assumptions'!H32</f>
        <v>372328.72355769231</v>
      </c>
      <c r="L288" s="472"/>
    </row>
    <row r="289" spans="1:12" x14ac:dyDescent="0.2">
      <c r="A289" s="219"/>
      <c r="B289" s="36"/>
      <c r="C289" s="9" t="s">
        <v>315</v>
      </c>
      <c r="D289" s="9"/>
      <c r="E289" s="61"/>
      <c r="F289" s="62"/>
      <c r="G289" s="388"/>
      <c r="H289" s="388"/>
      <c r="I289" s="388"/>
      <c r="J289" s="388"/>
      <c r="K289" s="399"/>
      <c r="L289" s="471"/>
    </row>
    <row r="290" spans="1:12" x14ac:dyDescent="0.2">
      <c r="A290" s="219">
        <v>219</v>
      </c>
      <c r="B290" s="36"/>
      <c r="C290" s="9" t="s">
        <v>157</v>
      </c>
      <c r="D290" s="9" t="s">
        <v>316</v>
      </c>
      <c r="E290" s="18" t="s">
        <v>272</v>
      </c>
      <c r="F290" s="19" t="s">
        <v>314</v>
      </c>
      <c r="G290" s="391">
        <f>'Yr 1 Operating Statement of Act'!G290</f>
        <v>0</v>
      </c>
      <c r="H290" s="391"/>
      <c r="I290" s="391"/>
      <c r="J290" s="391"/>
      <c r="K290" s="400"/>
      <c r="L290" s="472"/>
    </row>
    <row r="291" spans="1:12" x14ac:dyDescent="0.2">
      <c r="A291" s="219">
        <v>220</v>
      </c>
      <c r="B291" s="36"/>
      <c r="C291" s="9"/>
      <c r="D291" s="9" t="s">
        <v>171</v>
      </c>
      <c r="E291" s="18" t="s">
        <v>172</v>
      </c>
      <c r="F291" s="19" t="s">
        <v>317</v>
      </c>
      <c r="G291" s="391">
        <f>'Yr 1 Operating Statement of Act'!G291</f>
        <v>0</v>
      </c>
      <c r="H291" s="391"/>
      <c r="I291" s="391"/>
      <c r="J291" s="391"/>
      <c r="K291" s="400"/>
      <c r="L291" s="472"/>
    </row>
    <row r="292" spans="1:12" x14ac:dyDescent="0.2">
      <c r="A292" s="219">
        <v>221</v>
      </c>
      <c r="B292" s="36"/>
      <c r="C292" s="9"/>
      <c r="D292" s="9" t="s">
        <v>318</v>
      </c>
      <c r="E292" s="18" t="s">
        <v>319</v>
      </c>
      <c r="F292" s="19" t="s">
        <v>317</v>
      </c>
      <c r="G292" s="391">
        <f>'Yr 1 Operating Statement of Act'!G292</f>
        <v>0</v>
      </c>
      <c r="H292" s="391"/>
      <c r="I292" s="391"/>
      <c r="J292" s="391"/>
      <c r="K292" s="400"/>
      <c r="L292" s="456"/>
    </row>
    <row r="293" spans="1:12" x14ac:dyDescent="0.2">
      <c r="A293" s="219">
        <v>222</v>
      </c>
      <c r="B293" s="36"/>
      <c r="C293" s="9"/>
      <c r="D293" s="9" t="s">
        <v>320</v>
      </c>
      <c r="E293" s="18" t="s">
        <v>321</v>
      </c>
      <c r="F293" s="19" t="s">
        <v>317</v>
      </c>
      <c r="G293" s="391">
        <f>'Yr 1 Operating Statement of Act'!G293</f>
        <v>0</v>
      </c>
      <c r="H293" s="391"/>
      <c r="I293" s="391"/>
      <c r="J293" s="391"/>
      <c r="K293" s="400"/>
      <c r="L293" s="472"/>
    </row>
    <row r="294" spans="1:12" x14ac:dyDescent="0.2">
      <c r="A294" s="219">
        <v>223</v>
      </c>
      <c r="B294" s="36"/>
      <c r="C294" s="9"/>
      <c r="D294" s="9" t="s">
        <v>207</v>
      </c>
      <c r="E294" s="18" t="s">
        <v>177</v>
      </c>
      <c r="F294" s="19" t="s">
        <v>317</v>
      </c>
      <c r="G294" s="391">
        <f>'Yr 1 Operating Statement of Act'!G294</f>
        <v>0</v>
      </c>
      <c r="H294" s="391"/>
      <c r="I294" s="391"/>
      <c r="J294" s="391"/>
      <c r="K294" s="400"/>
      <c r="L294" s="472"/>
    </row>
    <row r="295" spans="1:12" x14ac:dyDescent="0.2">
      <c r="A295" s="219">
        <v>224</v>
      </c>
      <c r="B295" s="36"/>
      <c r="C295" s="9"/>
      <c r="D295" s="9" t="s">
        <v>322</v>
      </c>
      <c r="E295" s="18" t="s">
        <v>292</v>
      </c>
      <c r="F295" s="19" t="s">
        <v>317</v>
      </c>
      <c r="G295" s="391">
        <f>'Yr 1 Operating Statement of Act'!G295</f>
        <v>0</v>
      </c>
      <c r="H295" s="391"/>
      <c r="I295" s="391"/>
      <c r="J295" s="391"/>
      <c r="K295" s="400"/>
      <c r="L295" s="472"/>
    </row>
    <row r="296" spans="1:12" x14ac:dyDescent="0.2">
      <c r="A296" s="219">
        <v>225</v>
      </c>
      <c r="B296" s="36"/>
      <c r="C296" s="9"/>
      <c r="D296" s="9" t="s">
        <v>180</v>
      </c>
      <c r="E296" s="18" t="s">
        <v>181</v>
      </c>
      <c r="F296" s="19" t="s">
        <v>317</v>
      </c>
      <c r="G296" s="391">
        <f>'Yr 1 Operating Statement of Act'!G296</f>
        <v>0</v>
      </c>
      <c r="H296" s="391"/>
      <c r="I296" s="391"/>
      <c r="J296" s="391"/>
      <c r="K296" s="400"/>
      <c r="L296" s="472"/>
    </row>
    <row r="297" spans="1:12" x14ac:dyDescent="0.2">
      <c r="A297" s="219">
        <v>226</v>
      </c>
      <c r="B297" s="36"/>
      <c r="C297" s="9"/>
      <c r="D297" s="9" t="s">
        <v>182</v>
      </c>
      <c r="E297" s="18" t="s">
        <v>183</v>
      </c>
      <c r="F297" s="19" t="s">
        <v>317</v>
      </c>
      <c r="G297" s="391">
        <f>'Yr 1 Operating Statement of Act'!G297</f>
        <v>0</v>
      </c>
      <c r="H297" s="391"/>
      <c r="I297" s="391"/>
      <c r="J297" s="391"/>
      <c r="K297" s="400"/>
      <c r="L297" s="472"/>
    </row>
    <row r="298" spans="1:12" x14ac:dyDescent="0.2">
      <c r="A298" s="219">
        <v>227</v>
      </c>
      <c r="B298" s="36"/>
      <c r="C298" s="9"/>
      <c r="D298" s="9" t="s">
        <v>184</v>
      </c>
      <c r="E298" s="18" t="s">
        <v>185</v>
      </c>
      <c r="F298" s="19" t="s">
        <v>314</v>
      </c>
      <c r="G298" s="391">
        <f>'Yr 1 Operating Statement of Act'!G298</f>
        <v>0</v>
      </c>
      <c r="H298" s="391"/>
      <c r="I298" s="391"/>
      <c r="J298" s="391"/>
      <c r="K298" s="400"/>
      <c r="L298" s="472"/>
    </row>
    <row r="299" spans="1:12" x14ac:dyDescent="0.2">
      <c r="A299" s="219">
        <v>228</v>
      </c>
      <c r="B299" s="36"/>
      <c r="C299" s="9"/>
      <c r="D299" s="9" t="s">
        <v>186</v>
      </c>
      <c r="E299" s="18" t="s">
        <v>187</v>
      </c>
      <c r="F299" s="19" t="s">
        <v>314</v>
      </c>
      <c r="G299" s="391">
        <f>'Yr 1 Operating Statement of Act'!G299</f>
        <v>0</v>
      </c>
      <c r="H299" s="391"/>
      <c r="I299" s="391"/>
      <c r="J299" s="391"/>
      <c r="K299" s="400"/>
      <c r="L299" s="472"/>
    </row>
    <row r="300" spans="1:12" x14ac:dyDescent="0.2">
      <c r="A300" s="219">
        <v>229</v>
      </c>
      <c r="B300" s="36"/>
      <c r="C300" s="9"/>
      <c r="D300" s="9" t="s">
        <v>188</v>
      </c>
      <c r="E300" s="18" t="s">
        <v>189</v>
      </c>
      <c r="F300" s="19" t="s">
        <v>314</v>
      </c>
      <c r="G300" s="391">
        <f>'Yr 1 Operating Statement of Act'!G300</f>
        <v>0</v>
      </c>
      <c r="H300" s="391"/>
      <c r="I300" s="391"/>
      <c r="J300" s="391"/>
      <c r="K300" s="400"/>
      <c r="L300" s="472"/>
    </row>
    <row r="301" spans="1:12" x14ac:dyDescent="0.2">
      <c r="A301" s="219">
        <v>230</v>
      </c>
      <c r="B301" s="36"/>
      <c r="C301" s="9"/>
      <c r="D301" s="9" t="s">
        <v>190</v>
      </c>
      <c r="E301" s="18" t="s">
        <v>191</v>
      </c>
      <c r="F301" s="19" t="s">
        <v>314</v>
      </c>
      <c r="G301" s="391">
        <f>'Yr 1 Operating Statement of Act'!G301</f>
        <v>0</v>
      </c>
      <c r="H301" s="391"/>
      <c r="I301" s="391"/>
      <c r="J301" s="391"/>
      <c r="K301" s="400"/>
      <c r="L301" s="472"/>
    </row>
    <row r="302" spans="1:12" x14ac:dyDescent="0.2">
      <c r="A302" s="219">
        <v>231</v>
      </c>
      <c r="B302" s="36"/>
      <c r="C302" s="9"/>
      <c r="D302" s="9" t="s">
        <v>192</v>
      </c>
      <c r="E302" s="18" t="s">
        <v>193</v>
      </c>
      <c r="F302" s="19" t="s">
        <v>314</v>
      </c>
      <c r="G302" s="391">
        <f>'Yr 1 Operating Statement of Act'!G302</f>
        <v>0</v>
      </c>
      <c r="H302" s="391"/>
      <c r="I302" s="391"/>
      <c r="J302" s="391"/>
      <c r="K302" s="400"/>
      <c r="L302" s="472"/>
    </row>
    <row r="303" spans="1:12" x14ac:dyDescent="0.2">
      <c r="A303" s="219">
        <v>232</v>
      </c>
      <c r="B303" s="36"/>
      <c r="C303" s="9"/>
      <c r="D303" s="9" t="s">
        <v>194</v>
      </c>
      <c r="E303" s="18" t="s">
        <v>195</v>
      </c>
      <c r="F303" s="19" t="s">
        <v>314</v>
      </c>
      <c r="G303" s="391">
        <f>'Yr 1 Operating Statement of Act'!G303</f>
        <v>0</v>
      </c>
      <c r="H303" s="391"/>
      <c r="I303" s="391"/>
      <c r="J303" s="391"/>
      <c r="K303" s="400"/>
      <c r="L303" s="472"/>
    </row>
    <row r="304" spans="1:12" x14ac:dyDescent="0.2">
      <c r="A304" s="219">
        <v>233</v>
      </c>
      <c r="B304" s="36"/>
      <c r="C304" s="85" t="s">
        <v>196</v>
      </c>
      <c r="D304" s="9"/>
      <c r="E304" s="18"/>
      <c r="F304" s="19"/>
      <c r="G304" s="391">
        <f>'Yr 1 Operating Statement of Act'!G304</f>
        <v>0</v>
      </c>
      <c r="H304" s="391"/>
      <c r="I304" s="391"/>
      <c r="J304" s="391"/>
      <c r="K304" s="400"/>
      <c r="L304" s="472"/>
    </row>
    <row r="305" spans="1:12" x14ac:dyDescent="0.2">
      <c r="A305" s="219">
        <v>234</v>
      </c>
      <c r="B305" s="36"/>
      <c r="C305" s="85"/>
      <c r="D305" s="9"/>
      <c r="E305" s="18"/>
      <c r="F305" s="19"/>
      <c r="G305" s="391">
        <f>'Yr 1 Operating Statement of Act'!G305</f>
        <v>0</v>
      </c>
      <c r="H305" s="391"/>
      <c r="I305" s="391"/>
      <c r="J305" s="391"/>
      <c r="K305" s="400"/>
      <c r="L305" s="472"/>
    </row>
    <row r="306" spans="1:12" x14ac:dyDescent="0.2">
      <c r="A306" s="219">
        <v>235</v>
      </c>
      <c r="B306" s="83"/>
      <c r="D306" s="13"/>
      <c r="E306" s="14"/>
      <c r="F306" s="15"/>
      <c r="G306" s="412">
        <f>'Yr 1 Operating Statement of Act'!G306</f>
        <v>0</v>
      </c>
      <c r="H306" s="412"/>
      <c r="I306" s="412"/>
      <c r="J306" s="412"/>
      <c r="K306" s="413"/>
      <c r="L306" s="485"/>
    </row>
    <row r="307" spans="1:12" ht="15" x14ac:dyDescent="0.25">
      <c r="A307" s="220">
        <v>236</v>
      </c>
      <c r="B307" s="87" t="s">
        <v>323</v>
      </c>
      <c r="C307" s="51"/>
      <c r="D307" s="51"/>
      <c r="E307" s="49"/>
      <c r="F307" s="50"/>
      <c r="G307" s="415">
        <f>SUM(G288:G306)</f>
        <v>301408.96668956045</v>
      </c>
      <c r="H307" s="415">
        <f>SUM(H288:H306)</f>
        <v>319138.90590659343</v>
      </c>
      <c r="I307" s="415">
        <f>SUM(I288:I306)</f>
        <v>336868.84512362635</v>
      </c>
      <c r="J307" s="415">
        <f>SUM(J288:J306)</f>
        <v>354598.78434065933</v>
      </c>
      <c r="K307" s="402">
        <f>SUM(K288:K306)</f>
        <v>372328.72355769231</v>
      </c>
      <c r="L307" s="486"/>
    </row>
    <row r="308" spans="1:12" x14ac:dyDescent="0.2">
      <c r="A308" s="219"/>
      <c r="B308" s="35"/>
      <c r="C308" s="12"/>
      <c r="D308" s="12"/>
      <c r="E308" s="71"/>
      <c r="F308" s="72"/>
      <c r="G308" s="385"/>
      <c r="H308" s="385"/>
      <c r="I308" s="385"/>
      <c r="J308" s="385"/>
      <c r="K308" s="398"/>
      <c r="L308" s="493"/>
    </row>
    <row r="309" spans="1:12" s="4" customFormat="1" ht="15" x14ac:dyDescent="0.25">
      <c r="A309" s="219"/>
      <c r="B309" s="88" t="s">
        <v>324</v>
      </c>
      <c r="C309" s="53"/>
      <c r="D309" s="53"/>
      <c r="E309" s="77"/>
      <c r="F309" s="78"/>
      <c r="G309" s="148"/>
      <c r="H309" s="148"/>
      <c r="I309" s="148"/>
      <c r="J309" s="148"/>
      <c r="K309" s="149"/>
      <c r="L309" s="489"/>
    </row>
    <row r="310" spans="1:12" ht="15" x14ac:dyDescent="0.25">
      <c r="A310" s="219"/>
      <c r="B310" s="36"/>
      <c r="C310" s="106" t="s">
        <v>325</v>
      </c>
      <c r="D310" s="9"/>
      <c r="E310" s="77"/>
      <c r="F310" s="78"/>
      <c r="G310" s="388"/>
      <c r="H310" s="388"/>
      <c r="I310" s="388"/>
      <c r="J310" s="388"/>
      <c r="K310" s="399"/>
      <c r="L310" s="489"/>
    </row>
    <row r="311" spans="1:12" x14ac:dyDescent="0.2">
      <c r="A311" s="219">
        <v>237</v>
      </c>
      <c r="B311" s="36"/>
      <c r="C311" s="9"/>
      <c r="D311" s="9" t="s">
        <v>168</v>
      </c>
      <c r="E311" s="18" t="s">
        <v>169</v>
      </c>
      <c r="F311" s="19" t="s">
        <v>326</v>
      </c>
      <c r="G311" s="391">
        <f>'Yr 1 Operating Statement of Act'!G311</f>
        <v>0</v>
      </c>
      <c r="H311" s="391"/>
      <c r="I311" s="391"/>
      <c r="J311" s="391"/>
      <c r="K311" s="400"/>
      <c r="L311" s="456"/>
    </row>
    <row r="312" spans="1:12" x14ac:dyDescent="0.2">
      <c r="A312" s="219">
        <v>238</v>
      </c>
      <c r="B312" s="36"/>
      <c r="C312" s="9"/>
      <c r="D312" s="9" t="s">
        <v>327</v>
      </c>
      <c r="E312" s="18" t="s">
        <v>328</v>
      </c>
      <c r="F312" s="19">
        <v>2830</v>
      </c>
      <c r="G312" s="391">
        <f>'Yr 1 Operating Statement of Act'!G312</f>
        <v>4548</v>
      </c>
      <c r="H312" s="391">
        <f>+'Rev &amp; Exp Assumptions'!E53</f>
        <v>4800.46875</v>
      </c>
      <c r="I312" s="391">
        <f>+'Rev &amp; Exp Assumptions'!F53</f>
        <v>5053.125</v>
      </c>
      <c r="J312" s="391">
        <f>+'Rev &amp; Exp Assumptions'!G53</f>
        <v>5305.78125</v>
      </c>
      <c r="K312" s="391">
        <f>+'Rev &amp; Exp Assumptions'!H53</f>
        <v>5558.4375</v>
      </c>
      <c r="L312" s="472" t="s">
        <v>400</v>
      </c>
    </row>
    <row r="313" spans="1:12" x14ac:dyDescent="0.2">
      <c r="A313" s="219">
        <v>239</v>
      </c>
      <c r="B313" s="36"/>
      <c r="C313" s="9"/>
      <c r="D313" s="9" t="s">
        <v>51</v>
      </c>
      <c r="E313" s="18" t="s">
        <v>243</v>
      </c>
      <c r="F313" s="19" t="s">
        <v>329</v>
      </c>
      <c r="G313" s="391">
        <f>'Yr 1 Operating Statement of Act'!G313</f>
        <v>4664</v>
      </c>
      <c r="H313" s="391">
        <f>+'Rev &amp; Exp Assumptions'!E19</f>
        <v>4938.4378434065929</v>
      </c>
      <c r="I313" s="391">
        <f>+'Rev &amp; Exp Assumptions'!F19</f>
        <v>5212.7955013736264</v>
      </c>
      <c r="J313" s="391">
        <f>+'Rev &amp; Exp Assumptions'!G19</f>
        <v>5487.1531593406589</v>
      </c>
      <c r="K313" s="400">
        <f>+'Rev &amp; Exp Assumptions'!H19</f>
        <v>5761.5108173076924</v>
      </c>
      <c r="L313" s="472" t="s">
        <v>400</v>
      </c>
    </row>
    <row r="314" spans="1:12" x14ac:dyDescent="0.2">
      <c r="A314" s="219">
        <v>240</v>
      </c>
      <c r="B314" s="36"/>
      <c r="C314" s="9" t="s">
        <v>330</v>
      </c>
      <c r="D314" s="9"/>
      <c r="E314" s="104" t="s">
        <v>212</v>
      </c>
      <c r="F314" s="105" t="s">
        <v>326</v>
      </c>
      <c r="G314" s="421">
        <f>'Yr 1 Operating Statement of Act'!G314</f>
        <v>0</v>
      </c>
      <c r="H314" s="421"/>
      <c r="I314" s="421"/>
      <c r="J314" s="421"/>
      <c r="K314" s="422"/>
      <c r="L314" s="456"/>
    </row>
    <row r="315" spans="1:12" x14ac:dyDescent="0.2">
      <c r="A315" s="219">
        <v>241</v>
      </c>
      <c r="B315" s="36"/>
      <c r="C315" s="9" t="s">
        <v>184</v>
      </c>
      <c r="D315" s="9"/>
      <c r="E315" s="18" t="s">
        <v>185</v>
      </c>
      <c r="F315" s="19" t="s">
        <v>326</v>
      </c>
      <c r="G315" s="391">
        <f>'Yr 1 Operating Statement of Act'!G315</f>
        <v>0</v>
      </c>
      <c r="H315" s="391"/>
      <c r="I315" s="391"/>
      <c r="J315" s="391"/>
      <c r="K315" s="400"/>
      <c r="L315" s="456"/>
    </row>
    <row r="316" spans="1:12" x14ac:dyDescent="0.2">
      <c r="A316" s="219">
        <v>242</v>
      </c>
      <c r="B316" s="36"/>
      <c r="C316" s="9" t="s">
        <v>186</v>
      </c>
      <c r="D316" s="9"/>
      <c r="E316" s="18" t="s">
        <v>187</v>
      </c>
      <c r="F316" s="19" t="s">
        <v>326</v>
      </c>
      <c r="G316" s="391">
        <f>'Yr 1 Operating Statement of Act'!G316</f>
        <v>0</v>
      </c>
      <c r="H316" s="391"/>
      <c r="I316" s="391"/>
      <c r="J316" s="391"/>
      <c r="K316" s="400"/>
      <c r="L316" s="472"/>
    </row>
    <row r="317" spans="1:12" x14ac:dyDescent="0.2">
      <c r="A317" s="219">
        <v>243</v>
      </c>
      <c r="B317" s="36"/>
      <c r="C317" s="9" t="s">
        <v>188</v>
      </c>
      <c r="D317" s="9"/>
      <c r="E317" s="18" t="s">
        <v>189</v>
      </c>
      <c r="F317" s="19" t="s">
        <v>326</v>
      </c>
      <c r="G317" s="391">
        <f>'Yr 1 Operating Statement of Act'!G317</f>
        <v>0</v>
      </c>
      <c r="H317" s="391"/>
      <c r="I317" s="391"/>
      <c r="J317" s="391"/>
      <c r="K317" s="400"/>
      <c r="L317" s="456"/>
    </row>
    <row r="318" spans="1:12" x14ac:dyDescent="0.2">
      <c r="A318" s="219">
        <v>244</v>
      </c>
      <c r="B318" s="36"/>
      <c r="C318" s="9" t="s">
        <v>190</v>
      </c>
      <c r="D318" s="9"/>
      <c r="E318" s="18" t="s">
        <v>191</v>
      </c>
      <c r="F318" s="19" t="s">
        <v>326</v>
      </c>
      <c r="G318" s="391">
        <f>'Yr 1 Operating Statement of Act'!G318</f>
        <v>0</v>
      </c>
      <c r="H318" s="391"/>
      <c r="I318" s="391"/>
      <c r="J318" s="391"/>
      <c r="K318" s="400"/>
      <c r="L318" s="456"/>
    </row>
    <row r="319" spans="1:12" x14ac:dyDescent="0.2">
      <c r="A319" s="219">
        <v>245</v>
      </c>
      <c r="B319" s="36"/>
      <c r="C319" s="9" t="s">
        <v>192</v>
      </c>
      <c r="D319" s="9"/>
      <c r="E319" s="18" t="s">
        <v>193</v>
      </c>
      <c r="F319" s="19" t="s">
        <v>326</v>
      </c>
      <c r="G319" s="391">
        <f>'Yr 1 Operating Statement of Act'!G319</f>
        <v>0</v>
      </c>
      <c r="H319" s="391"/>
      <c r="I319" s="391"/>
      <c r="J319" s="391"/>
      <c r="K319" s="400"/>
      <c r="L319" s="456"/>
    </row>
    <row r="320" spans="1:12" x14ac:dyDescent="0.2">
      <c r="A320" s="219">
        <v>246</v>
      </c>
      <c r="B320" s="36"/>
      <c r="C320" s="9" t="s">
        <v>194</v>
      </c>
      <c r="D320" s="9"/>
      <c r="E320" s="18" t="s">
        <v>195</v>
      </c>
      <c r="F320" s="19" t="s">
        <v>326</v>
      </c>
      <c r="G320" s="391">
        <f>'Yr 1 Operating Statement of Act'!G320</f>
        <v>0</v>
      </c>
      <c r="H320" s="391"/>
      <c r="I320" s="391"/>
      <c r="J320" s="391"/>
      <c r="K320" s="400"/>
      <c r="L320" s="456"/>
    </row>
    <row r="321" spans="1:12" x14ac:dyDescent="0.2">
      <c r="A321" s="219">
        <v>247</v>
      </c>
      <c r="B321" s="36"/>
      <c r="C321" s="85"/>
      <c r="D321" s="9"/>
      <c r="E321" s="18"/>
      <c r="F321" s="19"/>
      <c r="G321" s="391">
        <f>'Yr 1 Operating Statement of Act'!G321</f>
        <v>0</v>
      </c>
      <c r="H321" s="391"/>
      <c r="I321" s="391"/>
      <c r="J321" s="391"/>
      <c r="K321" s="400"/>
      <c r="L321" s="472"/>
    </row>
    <row r="322" spans="1:12" x14ac:dyDescent="0.2">
      <c r="A322" s="219">
        <v>248</v>
      </c>
      <c r="B322" s="83"/>
      <c r="D322" s="13"/>
      <c r="E322" s="14"/>
      <c r="F322" s="15"/>
      <c r="G322" s="412">
        <f>'Yr 1 Operating Statement of Act'!G322</f>
        <v>0</v>
      </c>
      <c r="H322" s="412"/>
      <c r="I322" s="412"/>
      <c r="J322" s="412"/>
      <c r="K322" s="413"/>
      <c r="L322" s="485"/>
    </row>
    <row r="323" spans="1:12" ht="15" x14ac:dyDescent="0.25">
      <c r="A323" s="220">
        <v>249</v>
      </c>
      <c r="B323" s="87" t="s">
        <v>331</v>
      </c>
      <c r="C323" s="51"/>
      <c r="D323" s="51"/>
      <c r="E323" s="49"/>
      <c r="F323" s="50"/>
      <c r="G323" s="415">
        <f>SUM(G310:G322)</f>
        <v>9212</v>
      </c>
      <c r="H323" s="415">
        <f>SUM(H311:H322)</f>
        <v>9738.9065934065929</v>
      </c>
      <c r="I323" s="415">
        <f>SUM(I311:I322)</f>
        <v>10265.920501373626</v>
      </c>
      <c r="J323" s="415">
        <f>SUM(J311:J322)</f>
        <v>10792.934409340658</v>
      </c>
      <c r="K323" s="402">
        <f>SUM(K311:K322)</f>
        <v>11319.948317307691</v>
      </c>
      <c r="L323" s="486"/>
    </row>
    <row r="324" spans="1:12" s="13" customFormat="1" ht="15" x14ac:dyDescent="0.25">
      <c r="A324" s="217"/>
      <c r="B324" s="81"/>
      <c r="C324" s="58"/>
      <c r="D324" s="58"/>
      <c r="E324" s="22"/>
      <c r="F324" s="23"/>
      <c r="G324" s="394"/>
      <c r="H324" s="394"/>
      <c r="I324" s="394"/>
      <c r="J324" s="394"/>
      <c r="K324" s="401"/>
      <c r="L324" s="494"/>
    </row>
    <row r="325" spans="1:12" s="13" customFormat="1" ht="15.75" thickBot="1" x14ac:dyDescent="0.3">
      <c r="A325" s="216"/>
      <c r="B325" s="34"/>
      <c r="C325" s="20"/>
      <c r="D325" s="20"/>
      <c r="E325" s="14"/>
      <c r="F325" s="15"/>
      <c r="G325" s="412"/>
      <c r="H325" s="412"/>
      <c r="I325" s="412"/>
      <c r="J325" s="412"/>
      <c r="K325" s="413"/>
      <c r="L325" s="485"/>
    </row>
    <row r="326" spans="1:12" ht="15.75" thickBot="1" x14ac:dyDescent="0.3">
      <c r="A326" s="225">
        <v>250</v>
      </c>
      <c r="B326" s="75" t="s">
        <v>332</v>
      </c>
      <c r="C326" s="76"/>
      <c r="D326" s="76"/>
      <c r="E326" s="45"/>
      <c r="F326" s="46"/>
      <c r="G326" s="416">
        <f>+G171+G188+G203+G228+G253+G285+G307+G323</f>
        <v>2429634.2985421489</v>
      </c>
      <c r="H326" s="416">
        <f>H171+H188+H203+H228+H253+H285+H307+H323</f>
        <v>2470408.1475531138</v>
      </c>
      <c r="I326" s="416">
        <f>I171+I188+I203+I228+I253+I285+I307+I323</f>
        <v>2505440.726149152</v>
      </c>
      <c r="J326" s="416">
        <f>J171+J188+J203+J228+J253+J285+J307+J323</f>
        <v>2540609.0048551895</v>
      </c>
      <c r="K326" s="409">
        <f>K171+K188+K203+K228+K253+K285+K307+K323</f>
        <v>2575919.768676728</v>
      </c>
      <c r="L326" s="490"/>
    </row>
    <row r="327" spans="1:12" ht="15" thickBot="1" x14ac:dyDescent="0.25">
      <c r="A327" s="224"/>
      <c r="B327" s="35"/>
      <c r="C327" s="12"/>
      <c r="D327" s="12"/>
      <c r="E327" s="97"/>
      <c r="F327" s="98"/>
      <c r="G327" s="403"/>
      <c r="H327" s="403"/>
      <c r="I327" s="403"/>
      <c r="J327" s="403"/>
      <c r="K327" s="404"/>
      <c r="L327" s="495"/>
    </row>
    <row r="328" spans="1:12" ht="15.75" thickBot="1" x14ac:dyDescent="0.3">
      <c r="A328" s="225"/>
      <c r="B328" s="75" t="s">
        <v>333</v>
      </c>
      <c r="C328" s="76"/>
      <c r="D328" s="76"/>
      <c r="E328" s="121"/>
      <c r="F328" s="122"/>
      <c r="G328" s="423"/>
      <c r="H328" s="423"/>
      <c r="I328" s="423"/>
      <c r="J328" s="423"/>
      <c r="K328" s="424"/>
      <c r="L328" s="496"/>
    </row>
    <row r="329" spans="1:12" s="4" customFormat="1" ht="15" x14ac:dyDescent="0.25">
      <c r="A329" s="219"/>
      <c r="B329" s="88" t="s">
        <v>334</v>
      </c>
      <c r="C329" s="53"/>
      <c r="D329" s="53"/>
      <c r="E329" s="77"/>
      <c r="F329" s="78"/>
      <c r="G329" s="148"/>
      <c r="H329" s="148"/>
      <c r="I329" s="148"/>
      <c r="J329" s="148"/>
      <c r="K329" s="149"/>
      <c r="L329" s="489"/>
    </row>
    <row r="330" spans="1:12" x14ac:dyDescent="0.2">
      <c r="A330" s="219">
        <v>251</v>
      </c>
      <c r="B330" s="36"/>
      <c r="C330" s="9" t="s">
        <v>335</v>
      </c>
      <c r="D330" s="9"/>
      <c r="E330" s="18" t="s">
        <v>272</v>
      </c>
      <c r="F330" s="19">
        <v>3100</v>
      </c>
      <c r="G330" s="391">
        <f>'Yr 1 Operating Statement of Act'!G330</f>
        <v>0</v>
      </c>
      <c r="H330" s="391"/>
      <c r="I330" s="391"/>
      <c r="J330" s="391"/>
      <c r="K330" s="400"/>
      <c r="L330" s="472"/>
    </row>
    <row r="331" spans="1:12" x14ac:dyDescent="0.2">
      <c r="A331" s="219">
        <v>252</v>
      </c>
      <c r="B331" s="36"/>
      <c r="C331" s="9" t="s">
        <v>336</v>
      </c>
      <c r="D331" s="9"/>
      <c r="E331" s="18" t="s">
        <v>308</v>
      </c>
      <c r="F331" s="19" t="s">
        <v>337</v>
      </c>
      <c r="G331" s="391">
        <f>'Yr 1 Operating Statement of Act'!G331</f>
        <v>0</v>
      </c>
      <c r="H331" s="391"/>
      <c r="I331" s="391"/>
      <c r="J331" s="391"/>
      <c r="K331" s="400"/>
      <c r="L331" s="472"/>
    </row>
    <row r="332" spans="1:12" x14ac:dyDescent="0.2">
      <c r="A332" s="219">
        <v>253</v>
      </c>
      <c r="B332" s="36"/>
      <c r="C332" s="9" t="s">
        <v>338</v>
      </c>
      <c r="D332" s="9"/>
      <c r="E332" s="18" t="s">
        <v>339</v>
      </c>
      <c r="F332" s="19" t="s">
        <v>337</v>
      </c>
      <c r="G332" s="391">
        <f>'Yr 1 Operating Statement of Act'!G332</f>
        <v>276649</v>
      </c>
      <c r="H332" s="391">
        <f>+'Rev &amp; Exp Assumptions'!E33</f>
        <v>292922.97125686816</v>
      </c>
      <c r="I332" s="391">
        <f>+'Rev &amp; Exp Assumptions'!F33</f>
        <v>309196.46966002753</v>
      </c>
      <c r="J332" s="391">
        <f>+'Rev &amp; Exp Assumptions'!G33</f>
        <v>325469.96806318685</v>
      </c>
      <c r="K332" s="400">
        <f>+'Rev &amp; Exp Assumptions'!H33</f>
        <v>341743.46646634617</v>
      </c>
      <c r="L332" s="472" t="s">
        <v>400</v>
      </c>
    </row>
    <row r="333" spans="1:12" x14ac:dyDescent="0.2">
      <c r="A333" s="219">
        <v>254</v>
      </c>
      <c r="B333" s="36"/>
      <c r="C333" s="9" t="s">
        <v>340</v>
      </c>
      <c r="D333" s="9"/>
      <c r="E333" s="18" t="s">
        <v>230</v>
      </c>
      <c r="F333" s="19" t="s">
        <v>337</v>
      </c>
      <c r="G333" s="391">
        <f>'Yr 1 Operating Statement of Act'!G333</f>
        <v>0</v>
      </c>
      <c r="H333" s="391"/>
      <c r="I333" s="391"/>
      <c r="J333" s="391"/>
      <c r="K333" s="400"/>
      <c r="L333" s="472"/>
    </row>
    <row r="334" spans="1:12" x14ac:dyDescent="0.2">
      <c r="A334" s="219">
        <v>255</v>
      </c>
      <c r="B334" s="36"/>
      <c r="C334" s="9" t="s">
        <v>207</v>
      </c>
      <c r="D334" s="9"/>
      <c r="E334" s="18" t="s">
        <v>177</v>
      </c>
      <c r="F334" s="19" t="s">
        <v>337</v>
      </c>
      <c r="G334" s="391">
        <f>'Yr 1 Operating Statement of Act'!G334</f>
        <v>0</v>
      </c>
      <c r="H334" s="391"/>
      <c r="I334" s="391"/>
      <c r="J334" s="391"/>
      <c r="K334" s="400"/>
      <c r="L334" s="472"/>
    </row>
    <row r="335" spans="1:12" x14ac:dyDescent="0.2">
      <c r="A335" s="219">
        <v>256</v>
      </c>
      <c r="B335" s="36"/>
      <c r="C335" s="9" t="s">
        <v>341</v>
      </c>
      <c r="D335" s="9"/>
      <c r="E335" s="18" t="s">
        <v>342</v>
      </c>
      <c r="F335" s="19" t="s">
        <v>337</v>
      </c>
      <c r="G335" s="391">
        <f>'Yr 1 Operating Statement of Act'!G335</f>
        <v>0</v>
      </c>
      <c r="H335" s="391"/>
      <c r="I335" s="391"/>
      <c r="J335" s="391"/>
      <c r="K335" s="400"/>
      <c r="L335" s="472"/>
    </row>
    <row r="336" spans="1:12" x14ac:dyDescent="0.2">
      <c r="A336" s="219">
        <v>257</v>
      </c>
      <c r="B336" s="36"/>
      <c r="C336" s="9" t="s">
        <v>343</v>
      </c>
      <c r="D336" s="9"/>
      <c r="E336" s="18" t="s">
        <v>277</v>
      </c>
      <c r="F336" s="19" t="s">
        <v>337</v>
      </c>
      <c r="G336" s="391">
        <f>'Yr 1 Operating Statement of Act'!G336</f>
        <v>0</v>
      </c>
      <c r="H336" s="391"/>
      <c r="I336" s="391"/>
      <c r="J336" s="391"/>
      <c r="K336" s="400"/>
      <c r="L336" s="472"/>
    </row>
    <row r="337" spans="1:12" x14ac:dyDescent="0.2">
      <c r="A337" s="219">
        <v>258</v>
      </c>
      <c r="B337" s="36"/>
      <c r="C337" s="9" t="s">
        <v>344</v>
      </c>
      <c r="D337" s="9"/>
      <c r="E337" s="18" t="s">
        <v>345</v>
      </c>
      <c r="F337" s="19">
        <v>3100</v>
      </c>
      <c r="G337" s="391">
        <f>'Yr 1 Operating Statement of Act'!G337</f>
        <v>0</v>
      </c>
      <c r="H337" s="391"/>
      <c r="I337" s="391"/>
      <c r="J337" s="391"/>
      <c r="K337" s="400"/>
      <c r="L337" s="472"/>
    </row>
    <row r="338" spans="1:12" x14ac:dyDescent="0.2">
      <c r="A338" s="219">
        <v>259</v>
      </c>
      <c r="B338" s="36"/>
      <c r="C338" s="9" t="s">
        <v>263</v>
      </c>
      <c r="D338" s="9"/>
      <c r="E338" s="18" t="s">
        <v>264</v>
      </c>
      <c r="F338" s="19" t="s">
        <v>337</v>
      </c>
      <c r="G338" s="391">
        <f>'Yr 1 Operating Statement of Act'!G338</f>
        <v>0</v>
      </c>
      <c r="H338" s="391"/>
      <c r="I338" s="391"/>
      <c r="J338" s="391"/>
      <c r="K338" s="400"/>
      <c r="L338" s="472"/>
    </row>
    <row r="339" spans="1:12" x14ac:dyDescent="0.2">
      <c r="A339" s="219">
        <v>260</v>
      </c>
      <c r="B339" s="36"/>
      <c r="C339" s="9" t="s">
        <v>180</v>
      </c>
      <c r="D339" s="9"/>
      <c r="E339" s="18" t="s">
        <v>181</v>
      </c>
      <c r="F339" s="19" t="s">
        <v>337</v>
      </c>
      <c r="G339" s="391">
        <f>'Yr 1 Operating Statement of Act'!G339</f>
        <v>0</v>
      </c>
      <c r="H339" s="391"/>
      <c r="I339" s="391"/>
      <c r="J339" s="391"/>
      <c r="K339" s="400"/>
      <c r="L339" s="472"/>
    </row>
    <row r="340" spans="1:12" x14ac:dyDescent="0.2">
      <c r="A340" s="219">
        <v>261</v>
      </c>
      <c r="B340" s="36"/>
      <c r="C340" s="9" t="s">
        <v>184</v>
      </c>
      <c r="D340" s="9"/>
      <c r="E340" s="18" t="s">
        <v>185</v>
      </c>
      <c r="F340" s="19" t="s">
        <v>346</v>
      </c>
      <c r="G340" s="391">
        <f>'Yr 1 Operating Statement of Act'!G340</f>
        <v>0</v>
      </c>
      <c r="H340" s="391"/>
      <c r="I340" s="391"/>
      <c r="J340" s="391"/>
      <c r="K340" s="400"/>
      <c r="L340" s="472"/>
    </row>
    <row r="341" spans="1:12" x14ac:dyDescent="0.2">
      <c r="A341" s="219">
        <v>262</v>
      </c>
      <c r="B341" s="36"/>
      <c r="C341" s="9" t="s">
        <v>186</v>
      </c>
      <c r="D341" s="9"/>
      <c r="E341" s="18" t="s">
        <v>187</v>
      </c>
      <c r="F341" s="19" t="s">
        <v>346</v>
      </c>
      <c r="G341" s="391">
        <f>'Yr 1 Operating Statement of Act'!G341</f>
        <v>0</v>
      </c>
      <c r="H341" s="391"/>
      <c r="I341" s="391"/>
      <c r="J341" s="391"/>
      <c r="K341" s="400"/>
      <c r="L341" s="472"/>
    </row>
    <row r="342" spans="1:12" x14ac:dyDescent="0.2">
      <c r="A342" s="219">
        <v>263</v>
      </c>
      <c r="B342" s="36"/>
      <c r="C342" s="9" t="s">
        <v>188</v>
      </c>
      <c r="D342" s="9"/>
      <c r="E342" s="18" t="s">
        <v>189</v>
      </c>
      <c r="F342" s="19" t="s">
        <v>346</v>
      </c>
      <c r="G342" s="391">
        <f>'Yr 1 Operating Statement of Act'!G342</f>
        <v>0</v>
      </c>
      <c r="H342" s="391"/>
      <c r="I342" s="391"/>
      <c r="J342" s="391"/>
      <c r="K342" s="400"/>
      <c r="L342" s="472"/>
    </row>
    <row r="343" spans="1:12" x14ac:dyDescent="0.2">
      <c r="A343" s="219">
        <v>264</v>
      </c>
      <c r="B343" s="36"/>
      <c r="C343" s="9" t="s">
        <v>190</v>
      </c>
      <c r="D343" s="9"/>
      <c r="E343" s="18" t="s">
        <v>191</v>
      </c>
      <c r="F343" s="19" t="s">
        <v>346</v>
      </c>
      <c r="G343" s="391">
        <f>'Yr 1 Operating Statement of Act'!G343</f>
        <v>0</v>
      </c>
      <c r="H343" s="391"/>
      <c r="I343" s="391"/>
      <c r="J343" s="391"/>
      <c r="K343" s="400"/>
      <c r="L343" s="472"/>
    </row>
    <row r="344" spans="1:12" x14ac:dyDescent="0.2">
      <c r="A344" s="219">
        <v>265</v>
      </c>
      <c r="B344" s="36"/>
      <c r="C344" s="9" t="s">
        <v>192</v>
      </c>
      <c r="D344" s="9"/>
      <c r="E344" s="18" t="s">
        <v>193</v>
      </c>
      <c r="F344" s="19" t="s">
        <v>346</v>
      </c>
      <c r="G344" s="391">
        <f>'Yr 1 Operating Statement of Act'!G344</f>
        <v>0</v>
      </c>
      <c r="H344" s="391"/>
      <c r="I344" s="391"/>
      <c r="J344" s="391"/>
      <c r="K344" s="400"/>
      <c r="L344" s="472"/>
    </row>
    <row r="345" spans="1:12" x14ac:dyDescent="0.2">
      <c r="A345" s="219">
        <v>266</v>
      </c>
      <c r="B345" s="36"/>
      <c r="C345" s="9" t="s">
        <v>194</v>
      </c>
      <c r="D345" s="9"/>
      <c r="E345" s="18" t="s">
        <v>195</v>
      </c>
      <c r="F345" s="19" t="s">
        <v>346</v>
      </c>
      <c r="G345" s="391">
        <f>'Yr 1 Operating Statement of Act'!G345</f>
        <v>0</v>
      </c>
      <c r="H345" s="391"/>
      <c r="I345" s="391"/>
      <c r="J345" s="391"/>
      <c r="K345" s="400"/>
      <c r="L345" s="472"/>
    </row>
    <row r="346" spans="1:12" x14ac:dyDescent="0.2">
      <c r="A346" s="219">
        <v>267</v>
      </c>
      <c r="B346" s="36"/>
      <c r="C346" s="85" t="s">
        <v>196</v>
      </c>
      <c r="D346" s="9"/>
      <c r="E346" s="18"/>
      <c r="F346" s="19"/>
      <c r="G346" s="391">
        <f>'Yr 1 Operating Statement of Act'!G346</f>
        <v>0</v>
      </c>
      <c r="H346" s="391"/>
      <c r="I346" s="391"/>
      <c r="J346" s="391"/>
      <c r="K346" s="400"/>
      <c r="L346" s="472"/>
    </row>
    <row r="347" spans="1:12" x14ac:dyDescent="0.2">
      <c r="A347" s="219">
        <v>268</v>
      </c>
      <c r="B347" s="36"/>
      <c r="C347" s="85"/>
      <c r="D347" s="9"/>
      <c r="E347" s="18"/>
      <c r="F347" s="19"/>
      <c r="G347" s="391">
        <f>'Yr 1 Operating Statement of Act'!G347</f>
        <v>0</v>
      </c>
      <c r="H347" s="391"/>
      <c r="I347" s="391"/>
      <c r="J347" s="391"/>
      <c r="K347" s="400"/>
      <c r="L347" s="472"/>
    </row>
    <row r="348" spans="1:12" x14ac:dyDescent="0.2">
      <c r="A348" s="219">
        <v>269</v>
      </c>
      <c r="B348" s="83"/>
      <c r="D348" s="13"/>
      <c r="E348" s="14"/>
      <c r="F348" s="15"/>
      <c r="G348" s="412">
        <f>'Yr 1 Operating Statement of Act'!G348</f>
        <v>0</v>
      </c>
      <c r="H348" s="412"/>
      <c r="I348" s="412"/>
      <c r="J348" s="412"/>
      <c r="K348" s="413"/>
      <c r="L348" s="485"/>
    </row>
    <row r="349" spans="1:12" ht="15" x14ac:dyDescent="0.25">
      <c r="A349" s="220">
        <v>270</v>
      </c>
      <c r="B349" s="87" t="s">
        <v>347</v>
      </c>
      <c r="C349" s="51"/>
      <c r="D349" s="51"/>
      <c r="E349" s="49"/>
      <c r="F349" s="50"/>
      <c r="G349" s="415">
        <f>SUM(G330:G348)</f>
        <v>276649</v>
      </c>
      <c r="H349" s="415">
        <f>SUM(H330:H348)</f>
        <v>292922.97125686816</v>
      </c>
      <c r="I349" s="415">
        <f>SUM(I330:I348)</f>
        <v>309196.46966002753</v>
      </c>
      <c r="J349" s="415">
        <f>SUM(J330:J348)</f>
        <v>325469.96806318685</v>
      </c>
      <c r="K349" s="402">
        <f>SUM(K330:K348)</f>
        <v>341743.46646634617</v>
      </c>
      <c r="L349" s="486"/>
    </row>
    <row r="350" spans="1:12" ht="6" customHeight="1" x14ac:dyDescent="0.2">
      <c r="A350" s="219"/>
      <c r="B350" s="36"/>
      <c r="C350" s="9"/>
      <c r="D350" s="9"/>
      <c r="E350" s="18"/>
      <c r="F350" s="19"/>
      <c r="G350" s="391"/>
      <c r="H350" s="391"/>
      <c r="I350" s="391"/>
      <c r="J350" s="391"/>
      <c r="K350" s="400"/>
      <c r="L350" s="472"/>
    </row>
    <row r="351" spans="1:12" ht="7.5" customHeight="1" x14ac:dyDescent="0.2">
      <c r="A351" s="219"/>
      <c r="B351" s="36"/>
      <c r="C351" s="9"/>
      <c r="D351" s="9"/>
      <c r="E351" s="18"/>
      <c r="F351" s="19"/>
      <c r="G351" s="391"/>
      <c r="H351" s="391"/>
      <c r="I351" s="391"/>
      <c r="J351" s="391"/>
      <c r="K351" s="400"/>
      <c r="L351" s="472"/>
    </row>
    <row r="352" spans="1:12" s="4" customFormat="1" ht="15" x14ac:dyDescent="0.25">
      <c r="A352" s="219" t="s">
        <v>157</v>
      </c>
      <c r="B352" s="88" t="s">
        <v>348</v>
      </c>
      <c r="C352" s="53"/>
      <c r="D352" s="53"/>
      <c r="E352" s="61"/>
      <c r="F352" s="62"/>
      <c r="G352" s="388"/>
      <c r="H352" s="388"/>
      <c r="I352" s="388"/>
      <c r="J352" s="388"/>
      <c r="K352" s="399"/>
      <c r="L352" s="471"/>
    </row>
    <row r="353" spans="1:12" x14ac:dyDescent="0.2">
      <c r="A353" s="219">
        <v>271</v>
      </c>
      <c r="B353" s="36"/>
      <c r="C353" s="9" t="s">
        <v>160</v>
      </c>
      <c r="D353" s="9"/>
      <c r="E353" s="18" t="s">
        <v>272</v>
      </c>
      <c r="F353" s="19" t="s">
        <v>349</v>
      </c>
      <c r="G353" s="391">
        <f>'Yr 1 Operating Statement of Act'!G353</f>
        <v>0</v>
      </c>
      <c r="H353" s="391"/>
      <c r="I353" s="391"/>
      <c r="J353" s="391"/>
      <c r="K353" s="400"/>
      <c r="L353" s="472"/>
    </row>
    <row r="354" spans="1:12" x14ac:dyDescent="0.2">
      <c r="A354" s="219">
        <v>272</v>
      </c>
      <c r="B354" s="36"/>
      <c r="C354" s="9" t="s">
        <v>207</v>
      </c>
      <c r="D354" s="9"/>
      <c r="E354" s="18" t="s">
        <v>177</v>
      </c>
      <c r="F354" s="19" t="s">
        <v>350</v>
      </c>
      <c r="G354" s="391">
        <f>'Yr 1 Operating Statement of Act'!G354</f>
        <v>0</v>
      </c>
      <c r="H354" s="391"/>
      <c r="I354" s="391"/>
      <c r="J354" s="391"/>
      <c r="K354" s="400"/>
      <c r="L354" s="472"/>
    </row>
    <row r="355" spans="1:12" x14ac:dyDescent="0.2">
      <c r="A355" s="219">
        <v>273</v>
      </c>
      <c r="B355" s="36"/>
      <c r="C355" s="9" t="s">
        <v>184</v>
      </c>
      <c r="D355" s="9"/>
      <c r="E355" s="18" t="s">
        <v>185</v>
      </c>
      <c r="F355" s="19" t="s">
        <v>349</v>
      </c>
      <c r="G355" s="391">
        <f>'Yr 1 Operating Statement of Act'!G355</f>
        <v>0</v>
      </c>
      <c r="H355" s="391"/>
      <c r="I355" s="391"/>
      <c r="J355" s="391"/>
      <c r="K355" s="400"/>
      <c r="L355" s="472"/>
    </row>
    <row r="356" spans="1:12" x14ac:dyDescent="0.2">
      <c r="A356" s="219">
        <v>274</v>
      </c>
      <c r="B356" s="36"/>
      <c r="C356" s="9" t="s">
        <v>186</v>
      </c>
      <c r="D356" s="9"/>
      <c r="E356" s="18" t="s">
        <v>187</v>
      </c>
      <c r="F356" s="19" t="s">
        <v>349</v>
      </c>
      <c r="G356" s="391">
        <f>'Yr 1 Operating Statement of Act'!G356</f>
        <v>0</v>
      </c>
      <c r="H356" s="391"/>
      <c r="I356" s="391"/>
      <c r="J356" s="391"/>
      <c r="K356" s="400"/>
      <c r="L356" s="472"/>
    </row>
    <row r="357" spans="1:12" x14ac:dyDescent="0.2">
      <c r="A357" s="219">
        <v>275</v>
      </c>
      <c r="B357" s="36"/>
      <c r="C357" s="9" t="s">
        <v>188</v>
      </c>
      <c r="D357" s="9"/>
      <c r="E357" s="18" t="s">
        <v>189</v>
      </c>
      <c r="F357" s="19" t="s">
        <v>349</v>
      </c>
      <c r="G357" s="391">
        <f>'Yr 1 Operating Statement of Act'!G357</f>
        <v>0</v>
      </c>
      <c r="H357" s="391"/>
      <c r="I357" s="391"/>
      <c r="J357" s="391"/>
      <c r="K357" s="400"/>
      <c r="L357" s="472"/>
    </row>
    <row r="358" spans="1:12" x14ac:dyDescent="0.2">
      <c r="A358" s="219">
        <v>276</v>
      </c>
      <c r="B358" s="36"/>
      <c r="C358" s="9" t="s">
        <v>190</v>
      </c>
      <c r="D358" s="9"/>
      <c r="E358" s="18" t="s">
        <v>191</v>
      </c>
      <c r="F358" s="19" t="s">
        <v>349</v>
      </c>
      <c r="G358" s="391">
        <f>'Yr 1 Operating Statement of Act'!G358</f>
        <v>0</v>
      </c>
      <c r="H358" s="391"/>
      <c r="I358" s="391"/>
      <c r="J358" s="391"/>
      <c r="K358" s="400"/>
      <c r="L358" s="472"/>
    </row>
    <row r="359" spans="1:12" x14ac:dyDescent="0.2">
      <c r="A359" s="219">
        <v>277</v>
      </c>
      <c r="B359" s="36"/>
      <c r="C359" s="9" t="s">
        <v>192</v>
      </c>
      <c r="D359" s="9"/>
      <c r="E359" s="18" t="s">
        <v>193</v>
      </c>
      <c r="F359" s="19" t="s">
        <v>349</v>
      </c>
      <c r="G359" s="391">
        <f>'Yr 1 Operating Statement of Act'!G359</f>
        <v>0</v>
      </c>
      <c r="H359" s="391"/>
      <c r="I359" s="391"/>
      <c r="J359" s="391"/>
      <c r="K359" s="400"/>
      <c r="L359" s="472"/>
    </row>
    <row r="360" spans="1:12" x14ac:dyDescent="0.2">
      <c r="A360" s="219">
        <v>278</v>
      </c>
      <c r="B360" s="36"/>
      <c r="C360" s="9" t="s">
        <v>194</v>
      </c>
      <c r="D360" s="9"/>
      <c r="E360" s="18" t="s">
        <v>195</v>
      </c>
      <c r="F360" s="19" t="s">
        <v>349</v>
      </c>
      <c r="G360" s="391">
        <f>'Yr 1 Operating Statement of Act'!G360</f>
        <v>0</v>
      </c>
      <c r="H360" s="391"/>
      <c r="I360" s="391"/>
      <c r="J360" s="391"/>
      <c r="K360" s="400"/>
      <c r="L360" s="472"/>
    </row>
    <row r="361" spans="1:12" x14ac:dyDescent="0.2">
      <c r="A361" s="219">
        <v>279</v>
      </c>
      <c r="B361" s="36"/>
      <c r="C361" s="85" t="s">
        <v>196</v>
      </c>
      <c r="D361" s="9"/>
      <c r="E361" s="18"/>
      <c r="F361" s="19"/>
      <c r="G361" s="391">
        <f>'Yr 1 Operating Statement of Act'!G361</f>
        <v>0</v>
      </c>
      <c r="H361" s="391"/>
      <c r="I361" s="391"/>
      <c r="J361" s="391"/>
      <c r="K361" s="400"/>
      <c r="L361" s="472"/>
    </row>
    <row r="362" spans="1:12" x14ac:dyDescent="0.2">
      <c r="A362" s="219">
        <v>280</v>
      </c>
      <c r="B362" s="36"/>
      <c r="C362" s="85"/>
      <c r="D362" s="9"/>
      <c r="E362" s="18"/>
      <c r="F362" s="19"/>
      <c r="G362" s="391">
        <f>'Yr 1 Operating Statement of Act'!G362</f>
        <v>0</v>
      </c>
      <c r="H362" s="391"/>
      <c r="I362" s="391"/>
      <c r="J362" s="391"/>
      <c r="K362" s="400"/>
      <c r="L362" s="472"/>
    </row>
    <row r="363" spans="1:12" x14ac:dyDescent="0.2">
      <c r="A363" s="219"/>
      <c r="B363" s="83"/>
      <c r="D363" s="13"/>
      <c r="E363" s="14"/>
      <c r="F363" s="15"/>
      <c r="G363" s="412">
        <f>'Yr 1 Operating Statement of Act'!G363</f>
        <v>0</v>
      </c>
      <c r="H363" s="412"/>
      <c r="I363" s="412"/>
      <c r="J363" s="412"/>
      <c r="K363" s="413"/>
      <c r="L363" s="485"/>
    </row>
    <row r="364" spans="1:12" ht="15" x14ac:dyDescent="0.25">
      <c r="A364" s="220">
        <v>281</v>
      </c>
      <c r="B364" s="87" t="s">
        <v>351</v>
      </c>
      <c r="C364" s="51"/>
      <c r="D364" s="51"/>
      <c r="E364" s="49"/>
      <c r="F364" s="50"/>
      <c r="G364" s="415">
        <f>SUM(G353:G363)</f>
        <v>0</v>
      </c>
      <c r="H364" s="415">
        <f>SUM(H353:H363)</f>
        <v>0</v>
      </c>
      <c r="I364" s="415">
        <f>SUM(I353:I363)</f>
        <v>0</v>
      </c>
      <c r="J364" s="415">
        <f>SUM(J353:J363)</f>
        <v>0</v>
      </c>
      <c r="K364" s="402">
        <f>SUM(K353:K363)</f>
        <v>0</v>
      </c>
      <c r="L364" s="486"/>
    </row>
    <row r="365" spans="1:12" ht="15.75" thickBot="1" x14ac:dyDescent="0.3">
      <c r="A365" s="219"/>
      <c r="B365" s="80"/>
      <c r="C365" s="10"/>
      <c r="D365" s="10"/>
      <c r="E365" s="18"/>
      <c r="F365" s="19"/>
      <c r="G365" s="391"/>
      <c r="H365" s="391"/>
      <c r="I365" s="391"/>
      <c r="J365" s="391"/>
      <c r="K365" s="400"/>
      <c r="L365" s="472"/>
    </row>
    <row r="366" spans="1:12" ht="15" x14ac:dyDescent="0.25">
      <c r="A366" s="226"/>
      <c r="B366" s="115" t="s">
        <v>352</v>
      </c>
      <c r="C366" s="123"/>
      <c r="D366" s="123"/>
      <c r="E366" s="135"/>
      <c r="F366" s="136"/>
      <c r="G366" s="425"/>
      <c r="H366" s="425"/>
      <c r="I366" s="425"/>
      <c r="J366" s="425"/>
      <c r="K366" s="426"/>
      <c r="L366" s="497"/>
    </row>
    <row r="367" spans="1:12" ht="15.75" thickBot="1" x14ac:dyDescent="0.3">
      <c r="A367" s="227">
        <v>282</v>
      </c>
      <c r="B367" s="131"/>
      <c r="C367" s="117"/>
      <c r="D367" s="117" t="s">
        <v>353</v>
      </c>
      <c r="E367" s="127"/>
      <c r="F367" s="128"/>
      <c r="G367" s="427">
        <f>+G349+G364</f>
        <v>276649</v>
      </c>
      <c r="H367" s="427">
        <f>H349+H364</f>
        <v>292922.97125686816</v>
      </c>
      <c r="I367" s="427">
        <f>I349+I364</f>
        <v>309196.46966002753</v>
      </c>
      <c r="J367" s="427">
        <f>J349+J364</f>
        <v>325469.96806318685</v>
      </c>
      <c r="K367" s="428">
        <f>K349+K364</f>
        <v>341743.46646634617</v>
      </c>
      <c r="L367" s="498"/>
    </row>
    <row r="368" spans="1:12" s="4" customFormat="1" ht="15" x14ac:dyDescent="0.25">
      <c r="A368" s="224"/>
      <c r="B368" s="132" t="s">
        <v>354</v>
      </c>
      <c r="C368" s="56"/>
      <c r="D368" s="56"/>
      <c r="E368" s="71"/>
      <c r="F368" s="72"/>
      <c r="G368" s="385"/>
      <c r="H368" s="385"/>
      <c r="I368" s="385"/>
      <c r="J368" s="385"/>
      <c r="K368" s="398"/>
      <c r="L368" s="493"/>
    </row>
    <row r="369" spans="1:12" x14ac:dyDescent="0.2">
      <c r="A369" s="219">
        <v>283</v>
      </c>
      <c r="B369" s="36"/>
      <c r="C369" s="9" t="s">
        <v>355</v>
      </c>
      <c r="D369" s="9"/>
      <c r="E369" s="18" t="s">
        <v>356</v>
      </c>
      <c r="F369" s="19" t="s">
        <v>357</v>
      </c>
      <c r="G369" s="391">
        <f>'Yr 1 Operating Statement of Act'!G369</f>
        <v>0</v>
      </c>
      <c r="H369" s="391"/>
      <c r="I369" s="391"/>
      <c r="J369" s="391"/>
      <c r="K369" s="400"/>
      <c r="L369" s="472"/>
    </row>
    <row r="370" spans="1:12" x14ac:dyDescent="0.2">
      <c r="A370" s="219">
        <v>284</v>
      </c>
      <c r="B370" s="36"/>
      <c r="C370" s="9" t="s">
        <v>358</v>
      </c>
      <c r="D370" s="9"/>
      <c r="E370" s="18" t="s">
        <v>359</v>
      </c>
      <c r="F370" s="19" t="s">
        <v>360</v>
      </c>
      <c r="G370" s="391">
        <f>'Yr 1 Operating Statement of Act'!G370</f>
        <v>0</v>
      </c>
      <c r="H370" s="391"/>
      <c r="I370" s="391"/>
      <c r="J370" s="391"/>
      <c r="K370" s="400"/>
      <c r="L370" s="472"/>
    </row>
    <row r="371" spans="1:12" x14ac:dyDescent="0.2">
      <c r="A371" s="219">
        <v>285</v>
      </c>
      <c r="B371" s="36"/>
      <c r="C371" s="9" t="s">
        <v>361</v>
      </c>
      <c r="D371" s="9"/>
      <c r="E371" s="18" t="s">
        <v>359</v>
      </c>
      <c r="F371" s="19" t="s">
        <v>362</v>
      </c>
      <c r="G371" s="391">
        <f>'Yr 1 Operating Statement of Act'!G371</f>
        <v>0</v>
      </c>
      <c r="H371" s="391"/>
      <c r="I371" s="391"/>
      <c r="J371" s="391"/>
      <c r="K371" s="400"/>
      <c r="L371" s="472"/>
    </row>
    <row r="372" spans="1:12" x14ac:dyDescent="0.2">
      <c r="A372" s="219">
        <v>286</v>
      </c>
      <c r="B372" s="36"/>
      <c r="C372" s="9" t="s">
        <v>180</v>
      </c>
      <c r="D372" s="9"/>
      <c r="E372" s="18" t="s">
        <v>181</v>
      </c>
      <c r="F372" s="19" t="s">
        <v>360</v>
      </c>
      <c r="G372" s="391">
        <f>'Yr 1 Operating Statement of Act'!G372</f>
        <v>0</v>
      </c>
      <c r="H372" s="391"/>
      <c r="I372" s="391"/>
      <c r="J372" s="391"/>
      <c r="K372" s="400"/>
      <c r="L372" s="472"/>
    </row>
    <row r="373" spans="1:12" x14ac:dyDescent="0.2">
      <c r="A373" s="219">
        <v>287</v>
      </c>
      <c r="B373" s="36"/>
      <c r="C373" s="9" t="s">
        <v>171</v>
      </c>
      <c r="D373" s="9"/>
      <c r="E373" s="18" t="s">
        <v>172</v>
      </c>
      <c r="F373" s="19" t="s">
        <v>363</v>
      </c>
      <c r="G373" s="391">
        <f>'Yr 1 Operating Statement of Act'!G373</f>
        <v>0</v>
      </c>
      <c r="H373" s="391"/>
      <c r="I373" s="391"/>
      <c r="J373" s="391"/>
      <c r="K373" s="400"/>
      <c r="L373" s="472"/>
    </row>
    <row r="374" spans="1:12" x14ac:dyDescent="0.2">
      <c r="A374" s="219">
        <v>288</v>
      </c>
      <c r="B374" s="36"/>
      <c r="C374" s="85" t="s">
        <v>196</v>
      </c>
      <c r="D374" s="9"/>
      <c r="E374" s="18"/>
      <c r="F374" s="19"/>
      <c r="G374" s="391">
        <f>'Yr 1 Operating Statement of Act'!G374</f>
        <v>0</v>
      </c>
      <c r="H374" s="391"/>
      <c r="I374" s="391"/>
      <c r="J374" s="391"/>
      <c r="K374" s="400"/>
      <c r="L374" s="472"/>
    </row>
    <row r="375" spans="1:12" x14ac:dyDescent="0.2">
      <c r="A375" s="219">
        <v>289</v>
      </c>
      <c r="B375" s="36"/>
      <c r="C375" s="85"/>
      <c r="D375" s="9"/>
      <c r="E375" s="18"/>
      <c r="F375" s="19"/>
      <c r="G375" s="391">
        <f>'Yr 1 Operating Statement of Act'!G375</f>
        <v>0</v>
      </c>
      <c r="H375" s="391"/>
      <c r="I375" s="391"/>
      <c r="J375" s="391"/>
      <c r="K375" s="400"/>
      <c r="L375" s="472"/>
    </row>
    <row r="376" spans="1:12" ht="15" thickBot="1" x14ac:dyDescent="0.25">
      <c r="A376" s="219">
        <v>290</v>
      </c>
      <c r="B376" s="83"/>
      <c r="D376" s="13"/>
      <c r="E376" s="14"/>
      <c r="F376" s="15"/>
      <c r="G376" s="412">
        <f>'Yr 1 Operating Statement of Act'!G376</f>
        <v>0</v>
      </c>
      <c r="H376" s="412"/>
      <c r="I376" s="412"/>
      <c r="J376" s="412"/>
      <c r="K376" s="413"/>
      <c r="L376" s="485"/>
    </row>
    <row r="377" spans="1:12" ht="15" x14ac:dyDescent="0.25">
      <c r="A377" s="226"/>
      <c r="B377" s="115" t="s">
        <v>364</v>
      </c>
      <c r="C377" s="123"/>
      <c r="D377" s="123"/>
      <c r="E377" s="135"/>
      <c r="F377" s="136"/>
      <c r="G377" s="425"/>
      <c r="H377" s="425"/>
      <c r="I377" s="425"/>
      <c r="J377" s="425"/>
      <c r="K377" s="426"/>
      <c r="L377" s="497"/>
    </row>
    <row r="378" spans="1:12" ht="15.75" thickBot="1" x14ac:dyDescent="0.3">
      <c r="A378" s="227">
        <v>291</v>
      </c>
      <c r="B378" s="124"/>
      <c r="C378" s="125"/>
      <c r="D378" s="117" t="s">
        <v>365</v>
      </c>
      <c r="E378" s="127"/>
      <c r="F378" s="128"/>
      <c r="G378" s="427">
        <f>SUM(G369:G376)</f>
        <v>0</v>
      </c>
      <c r="H378" s="427">
        <f>SUM(H369:H376)</f>
        <v>0</v>
      </c>
      <c r="I378" s="427">
        <f>SUM(I369:I376)</f>
        <v>0</v>
      </c>
      <c r="J378" s="427">
        <f>SUM(J369:J376)</f>
        <v>0</v>
      </c>
      <c r="K378" s="428">
        <f>SUM(K369:K376)</f>
        <v>0</v>
      </c>
      <c r="L378" s="498"/>
    </row>
    <row r="379" spans="1:12" x14ac:dyDescent="0.2">
      <c r="A379" s="224"/>
      <c r="B379" s="35"/>
      <c r="C379" s="12"/>
      <c r="D379" s="12"/>
      <c r="E379" s="16"/>
      <c r="F379" s="17"/>
      <c r="G379" s="417"/>
      <c r="H379" s="417"/>
      <c r="I379" s="417"/>
      <c r="J379" s="417"/>
      <c r="K379" s="418"/>
      <c r="L379" s="491"/>
    </row>
    <row r="380" spans="1:12" s="4" customFormat="1" ht="15" x14ac:dyDescent="0.25">
      <c r="A380" s="219"/>
      <c r="B380" s="52" t="s">
        <v>366</v>
      </c>
      <c r="C380" s="53"/>
      <c r="D380" s="53"/>
      <c r="E380" s="61"/>
      <c r="F380" s="62"/>
      <c r="G380" s="388"/>
      <c r="H380" s="388"/>
      <c r="I380" s="388"/>
      <c r="J380" s="388"/>
      <c r="K380" s="399"/>
      <c r="L380" s="471"/>
    </row>
    <row r="381" spans="1:12" x14ac:dyDescent="0.2">
      <c r="A381" s="219">
        <v>292</v>
      </c>
      <c r="B381" s="36"/>
      <c r="C381" s="9" t="s">
        <v>367</v>
      </c>
      <c r="D381" s="9"/>
      <c r="E381" s="61"/>
      <c r="F381" s="62"/>
      <c r="G381" s="388"/>
      <c r="H381" s="388"/>
      <c r="I381" s="388"/>
      <c r="J381" s="388"/>
      <c r="K381" s="399"/>
      <c r="L381" s="471"/>
    </row>
    <row r="382" spans="1:12" x14ac:dyDescent="0.2">
      <c r="A382" s="219">
        <v>293</v>
      </c>
      <c r="B382" s="36"/>
      <c r="C382" s="9"/>
      <c r="D382" s="9" t="s">
        <v>368</v>
      </c>
      <c r="E382" s="18" t="s">
        <v>277</v>
      </c>
      <c r="F382" s="19" t="s">
        <v>369</v>
      </c>
      <c r="G382" s="391">
        <f>'Yr 1 Operating Statement of Act'!G382</f>
        <v>0</v>
      </c>
      <c r="H382" s="391"/>
      <c r="I382" s="391"/>
      <c r="J382" s="391"/>
      <c r="K382" s="400"/>
      <c r="L382" s="472"/>
    </row>
    <row r="383" spans="1:12" x14ac:dyDescent="0.2">
      <c r="A383" s="219">
        <v>294</v>
      </c>
      <c r="B383" s="36"/>
      <c r="C383" s="9"/>
      <c r="D383" s="9" t="s">
        <v>370</v>
      </c>
      <c r="E383" s="18" t="s">
        <v>280</v>
      </c>
      <c r="F383" s="19" t="s">
        <v>369</v>
      </c>
      <c r="G383" s="391">
        <f>'Yr 1 Operating Statement of Act'!G383</f>
        <v>0</v>
      </c>
      <c r="H383" s="391"/>
      <c r="I383" s="391"/>
      <c r="J383" s="391"/>
      <c r="K383" s="400"/>
      <c r="L383" s="472"/>
    </row>
    <row r="384" spans="1:12" x14ac:dyDescent="0.2">
      <c r="A384" s="219">
        <v>295</v>
      </c>
      <c r="B384" s="36"/>
      <c r="C384" s="9"/>
      <c r="D384" s="9" t="s">
        <v>371</v>
      </c>
      <c r="E384" s="18" t="s">
        <v>372</v>
      </c>
      <c r="F384" s="19" t="s">
        <v>369</v>
      </c>
      <c r="G384" s="391">
        <f>'Yr 1 Operating Statement of Act'!G384</f>
        <v>0</v>
      </c>
      <c r="H384" s="391"/>
      <c r="I384" s="391"/>
      <c r="J384" s="391"/>
      <c r="K384" s="400"/>
      <c r="L384" s="472"/>
    </row>
    <row r="385" spans="1:12" x14ac:dyDescent="0.2">
      <c r="A385" s="219">
        <v>296</v>
      </c>
      <c r="B385" s="36"/>
      <c r="C385" s="9"/>
      <c r="D385" s="9" t="s">
        <v>182</v>
      </c>
      <c r="E385" s="18" t="s">
        <v>183</v>
      </c>
      <c r="F385" s="19" t="s">
        <v>369</v>
      </c>
      <c r="G385" s="391">
        <f>'Yr 1 Operating Statement of Act'!G385</f>
        <v>0</v>
      </c>
      <c r="H385" s="391"/>
      <c r="I385" s="391"/>
      <c r="J385" s="391"/>
      <c r="K385" s="400"/>
      <c r="L385" s="472"/>
    </row>
    <row r="386" spans="1:12" x14ac:dyDescent="0.2">
      <c r="A386" s="219">
        <v>297</v>
      </c>
      <c r="B386" s="36"/>
      <c r="C386" s="85" t="s">
        <v>196</v>
      </c>
      <c r="D386" s="9"/>
      <c r="E386" s="18"/>
      <c r="F386" s="19"/>
      <c r="G386" s="391">
        <f>'Yr 1 Operating Statement of Act'!G386</f>
        <v>0</v>
      </c>
      <c r="H386" s="391"/>
      <c r="I386" s="391"/>
      <c r="J386" s="391"/>
      <c r="K386" s="400"/>
      <c r="L386" s="472"/>
    </row>
    <row r="387" spans="1:12" x14ac:dyDescent="0.2">
      <c r="A387" s="219">
        <v>298</v>
      </c>
      <c r="B387" s="36"/>
      <c r="C387" s="85"/>
      <c r="D387" s="9"/>
      <c r="E387" s="18"/>
      <c r="F387" s="19"/>
      <c r="G387" s="391">
        <f>'Yr 1 Operating Statement of Act'!G387</f>
        <v>0</v>
      </c>
      <c r="H387" s="391"/>
      <c r="I387" s="391"/>
      <c r="J387" s="391"/>
      <c r="K387" s="400"/>
      <c r="L387" s="472"/>
    </row>
    <row r="388" spans="1:12" ht="15" thickBot="1" x14ac:dyDescent="0.25">
      <c r="A388" s="216">
        <v>299</v>
      </c>
      <c r="B388" s="83"/>
      <c r="D388" s="13"/>
      <c r="E388" s="14"/>
      <c r="F388" s="15"/>
      <c r="G388" s="412">
        <f>'Yr 1 Operating Statement of Act'!G388</f>
        <v>0</v>
      </c>
      <c r="H388" s="412"/>
      <c r="I388" s="412"/>
      <c r="J388" s="412"/>
      <c r="K388" s="413"/>
      <c r="L388" s="485"/>
    </row>
    <row r="389" spans="1:12" ht="15.75" thickBot="1" x14ac:dyDescent="0.3">
      <c r="A389" s="223">
        <v>300</v>
      </c>
      <c r="B389" s="75" t="s">
        <v>373</v>
      </c>
      <c r="C389" s="76"/>
      <c r="D389" s="76"/>
      <c r="E389" s="45"/>
      <c r="F389" s="46"/>
      <c r="G389" s="416">
        <f>SUM(G381:G388)</f>
        <v>0</v>
      </c>
      <c r="H389" s="416">
        <f>SUM(H382:H388)</f>
        <v>0</v>
      </c>
      <c r="I389" s="416">
        <f>SUM(I382:I388)</f>
        <v>0</v>
      </c>
      <c r="J389" s="416">
        <f>SUM(J382:J388)</f>
        <v>0</v>
      </c>
      <c r="K389" s="409">
        <f>SUM(K382:K388)</f>
        <v>0</v>
      </c>
      <c r="L389" s="490"/>
    </row>
    <row r="390" spans="1:12" ht="15" thickBot="1" x14ac:dyDescent="0.25">
      <c r="A390" s="219"/>
      <c r="B390" s="36"/>
      <c r="C390" s="9"/>
      <c r="D390" s="9"/>
      <c r="E390" s="18"/>
      <c r="F390" s="19"/>
      <c r="G390" s="391"/>
      <c r="H390" s="391"/>
      <c r="I390" s="391"/>
      <c r="J390" s="391"/>
      <c r="K390" s="400"/>
      <c r="L390" s="472"/>
    </row>
    <row r="391" spans="1:12" ht="15.75" thickBot="1" x14ac:dyDescent="0.3">
      <c r="A391" s="225"/>
      <c r="B391" s="75" t="s">
        <v>374</v>
      </c>
      <c r="C391" s="76"/>
      <c r="D391" s="76"/>
      <c r="E391" s="45"/>
      <c r="F391" s="46"/>
      <c r="G391" s="416">
        <f>+G154+G326+G367+G378+G389</f>
        <v>4920054.5758361053</v>
      </c>
      <c r="H391" s="416">
        <f>H154+H326+H367+H378+H389</f>
        <v>5160408.6595805855</v>
      </c>
      <c r="I391" s="416">
        <f>I154+I326+I367+I378+I389</f>
        <v>5396522.941226487</v>
      </c>
      <c r="J391" s="416">
        <f>J154+J326+J367+J378+J389</f>
        <v>5633131.5589873875</v>
      </c>
      <c r="K391" s="409">
        <f>K154+K326+K367+K378+K389</f>
        <v>5870259.2296690373</v>
      </c>
      <c r="L391" s="490"/>
    </row>
    <row r="392" spans="1:12" x14ac:dyDescent="0.2">
      <c r="A392" s="219"/>
      <c r="B392" s="36"/>
      <c r="C392" s="9"/>
      <c r="D392" s="9"/>
      <c r="E392" s="18"/>
      <c r="F392" s="19"/>
      <c r="G392" s="391"/>
      <c r="H392" s="391"/>
      <c r="I392" s="391"/>
      <c r="J392" s="391"/>
      <c r="K392" s="400"/>
      <c r="L392" s="472"/>
    </row>
    <row r="393" spans="1:12" s="4" customFormat="1" ht="15" x14ac:dyDescent="0.25">
      <c r="A393" s="219"/>
      <c r="B393" s="86" t="s">
        <v>375</v>
      </c>
      <c r="C393" s="11"/>
      <c r="D393" s="11"/>
      <c r="E393" s="77"/>
      <c r="F393" s="78"/>
      <c r="G393" s="148"/>
      <c r="H393" s="148"/>
      <c r="I393" s="148"/>
      <c r="J393" s="148"/>
      <c r="K393" s="149"/>
      <c r="L393" s="489"/>
    </row>
    <row r="394" spans="1:12" x14ac:dyDescent="0.2">
      <c r="A394" s="219">
        <v>301</v>
      </c>
      <c r="B394" s="36" t="s">
        <v>376</v>
      </c>
      <c r="C394" s="9"/>
      <c r="D394" s="9"/>
      <c r="E394" s="18" t="s">
        <v>212</v>
      </c>
      <c r="F394" s="19" t="s">
        <v>377</v>
      </c>
      <c r="G394" s="391">
        <v>0</v>
      </c>
      <c r="H394" s="391"/>
      <c r="I394" s="391"/>
      <c r="J394" s="391">
        <f>0.02*J70</f>
        <v>115884.88581527483</v>
      </c>
      <c r="K394" s="391">
        <f>0.02*K70</f>
        <v>121719.59060603858</v>
      </c>
      <c r="L394" s="472" t="s">
        <v>402</v>
      </c>
    </row>
    <row r="395" spans="1:12" ht="15" thickBot="1" x14ac:dyDescent="0.25">
      <c r="A395" s="219">
        <v>302</v>
      </c>
      <c r="B395" s="36"/>
      <c r="C395" s="9"/>
      <c r="D395" s="9"/>
      <c r="E395" s="18"/>
      <c r="F395" s="19"/>
      <c r="G395" s="429"/>
      <c r="H395" s="391"/>
      <c r="I395" s="391"/>
      <c r="J395" s="391"/>
      <c r="K395" s="400"/>
      <c r="L395" s="469"/>
    </row>
    <row r="396" spans="1:12" ht="15.75" thickBot="1" x14ac:dyDescent="0.3">
      <c r="A396" s="223">
        <v>303</v>
      </c>
      <c r="B396" s="75" t="s">
        <v>378</v>
      </c>
      <c r="C396" s="76"/>
      <c r="D396" s="76"/>
      <c r="E396" s="45"/>
      <c r="F396" s="46"/>
      <c r="G396" s="430">
        <f>SUM(G394:G395)</f>
        <v>0</v>
      </c>
      <c r="H396" s="416">
        <f>SUM(H394:H395)</f>
        <v>0</v>
      </c>
      <c r="I396" s="416">
        <f>SUM(I394:I395)</f>
        <v>0</v>
      </c>
      <c r="J396" s="416">
        <f>SUM(J394:J395)</f>
        <v>115884.88581527483</v>
      </c>
      <c r="K396" s="409">
        <f>SUM(K394:K395)</f>
        <v>121719.59060603858</v>
      </c>
      <c r="L396" s="479"/>
    </row>
    <row r="397" spans="1:12" ht="15" thickBot="1" x14ac:dyDescent="0.25">
      <c r="A397" s="57"/>
      <c r="B397" s="36"/>
      <c r="C397" s="9"/>
      <c r="D397" s="9"/>
      <c r="E397" s="18"/>
      <c r="F397" s="19"/>
      <c r="G397" s="429"/>
      <c r="H397" s="391"/>
      <c r="I397" s="391"/>
      <c r="J397" s="391"/>
      <c r="K397" s="400"/>
      <c r="L397" s="469"/>
    </row>
    <row r="398" spans="1:12" s="4" customFormat="1" ht="15.75" thickBot="1" x14ac:dyDescent="0.3">
      <c r="A398" s="75" t="s">
        <v>379</v>
      </c>
      <c r="B398" s="75"/>
      <c r="C398" s="76"/>
      <c r="D398" s="76"/>
      <c r="E398" s="119"/>
      <c r="F398" s="120"/>
      <c r="G398" s="150"/>
      <c r="H398" s="151"/>
      <c r="I398" s="151"/>
      <c r="J398" s="151"/>
      <c r="K398" s="152"/>
      <c r="L398" s="499"/>
    </row>
    <row r="399" spans="1:12" ht="15" x14ac:dyDescent="0.25">
      <c r="A399" s="114"/>
      <c r="B399" s="130"/>
      <c r="C399" s="129" t="s">
        <v>380</v>
      </c>
      <c r="D399" s="118"/>
      <c r="E399" s="135"/>
      <c r="F399" s="136"/>
      <c r="G399" s="431"/>
      <c r="H399" s="425"/>
      <c r="I399" s="425"/>
      <c r="J399" s="425"/>
      <c r="K399" s="426"/>
      <c r="L399" s="500"/>
    </row>
    <row r="400" spans="1:12" ht="15.75" thickBot="1" x14ac:dyDescent="0.3">
      <c r="A400" s="126">
        <v>304</v>
      </c>
      <c r="B400" s="131"/>
      <c r="C400" s="116" t="s">
        <v>381</v>
      </c>
      <c r="D400" s="117"/>
      <c r="E400" s="127"/>
      <c r="F400" s="128"/>
      <c r="G400" s="432">
        <f>+G70-G391-G396</f>
        <v>99620.658946190029</v>
      </c>
      <c r="H400" s="427">
        <f>+H70-H391-H396</f>
        <v>250365.15210678242</v>
      </c>
      <c r="I400" s="427">
        <f>+I70-I391-I396</f>
        <v>105986.10999906622</v>
      </c>
      <c r="J400" s="427">
        <f>+J70-J391-J396</f>
        <v>45227.845961079074</v>
      </c>
      <c r="K400" s="428">
        <f>+K70-K391-K396</f>
        <v>94000.71002685267</v>
      </c>
      <c r="L400" s="501"/>
    </row>
    <row r="401" spans="4:12" x14ac:dyDescent="0.2">
      <c r="D401" s="230" t="s">
        <v>403</v>
      </c>
      <c r="G401" s="433">
        <f>G400</f>
        <v>99620.658946190029</v>
      </c>
      <c r="H401" s="433">
        <f>G401+H400</f>
        <v>349985.81105297245</v>
      </c>
      <c r="I401" s="433">
        <f>H401+I400</f>
        <v>455971.92105203867</v>
      </c>
      <c r="J401" s="433">
        <f>I401+J400</f>
        <v>501199.76701311773</v>
      </c>
      <c r="K401" s="433">
        <f>J401+K400</f>
        <v>595200.47703997046</v>
      </c>
      <c r="L401" s="465"/>
    </row>
    <row r="402" spans="4:12" x14ac:dyDescent="0.2">
      <c r="G402" s="410"/>
      <c r="H402" s="410"/>
      <c r="I402" s="410"/>
      <c r="J402" s="410"/>
      <c r="K402" s="410"/>
      <c r="L402" s="465"/>
    </row>
    <row r="403" spans="4:12" x14ac:dyDescent="0.2">
      <c r="G403" s="410"/>
      <c r="H403" s="410"/>
      <c r="I403" s="410"/>
      <c r="J403" s="410"/>
      <c r="K403" s="410"/>
      <c r="L403" s="465"/>
    </row>
    <row r="404" spans="4:12" x14ac:dyDescent="0.2">
      <c r="G404" s="410"/>
      <c r="H404" s="410"/>
      <c r="I404" s="410"/>
      <c r="J404" s="410"/>
      <c r="K404" s="410"/>
      <c r="L404" s="465"/>
    </row>
    <row r="405" spans="4:12" x14ac:dyDescent="0.2">
      <c r="L405" s="465"/>
    </row>
    <row r="406" spans="4:12" x14ac:dyDescent="0.2">
      <c r="L406" s="465"/>
    </row>
    <row r="407" spans="4:12" x14ac:dyDescent="0.2">
      <c r="L407" s="465"/>
    </row>
    <row r="408" spans="4:12" x14ac:dyDescent="0.2">
      <c r="L408" s="465"/>
    </row>
  </sheetData>
  <mergeCells count="12">
    <mergeCell ref="A1:D1"/>
    <mergeCell ref="L6:L7"/>
    <mergeCell ref="A4:L4"/>
    <mergeCell ref="G6:G7"/>
    <mergeCell ref="A38:K38"/>
    <mergeCell ref="B6:D7"/>
    <mergeCell ref="H6:H7"/>
    <mergeCell ref="I6:I7"/>
    <mergeCell ref="F6:F7"/>
    <mergeCell ref="E6:E7"/>
    <mergeCell ref="K6:K7"/>
    <mergeCell ref="J6:J7"/>
  </mergeCells>
  <phoneticPr fontId="0" type="noConversion"/>
  <printOptions horizontalCentered="1"/>
  <pageMargins left="0.27" right="0.16" top="0.17" bottom="0.26" header="0.28999999999999998" footer="0.17"/>
  <pageSetup scale="53" orientation="landscape" r:id="rId1"/>
  <headerFooter alignWithMargins="0"/>
  <rowBreaks count="14" manualBreakCount="14">
    <brk id="40" max="16383" man="1"/>
    <brk id="73" max="16383" man="1"/>
    <brk id="100" max="16383" man="1"/>
    <brk id="127" max="16383" man="1"/>
    <brk id="154" max="16383" man="1"/>
    <brk id="188" max="16383" man="1"/>
    <brk id="203" max="16383" man="1"/>
    <brk id="228" max="16383" man="1"/>
    <brk id="253" max="16383" man="1"/>
    <brk id="285" max="16383" man="1"/>
    <brk id="307" max="16383" man="1"/>
    <brk id="326" max="16383" man="1"/>
    <brk id="349" max="16383" man="1"/>
    <brk id="378"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696"/>
  <sheetViews>
    <sheetView zoomScale="80" zoomScaleNormal="80" workbookViewId="0">
      <pane xSplit="4" ySplit="5" topLeftCell="F372" activePane="bottomRight" state="frozen"/>
      <selection pane="topRight" activeCell="A12" sqref="A12:O12"/>
      <selection pane="bottomLeft" activeCell="A12" sqref="A12:O12"/>
      <selection pane="bottomRight" activeCell="D122" sqref="D122"/>
    </sheetView>
  </sheetViews>
  <sheetFormatPr defaultColWidth="8.85546875" defaultRowHeight="14.25" x14ac:dyDescent="0.2"/>
  <cols>
    <col min="1" max="1" width="4.140625" style="32" customWidth="1"/>
    <col min="2" max="2" width="5.42578125" style="13" customWidth="1"/>
    <col min="3" max="3" width="4.42578125" style="13" customWidth="1"/>
    <col min="4" max="4" width="48.7109375" style="2" customWidth="1"/>
    <col min="5" max="5" width="8" style="3" customWidth="1"/>
    <col min="6" max="6" width="10.42578125" style="3" customWidth="1"/>
    <col min="7" max="7" width="14.42578125" style="2" bestFit="1" customWidth="1"/>
    <col min="8" max="8" width="13.42578125" style="2" bestFit="1" customWidth="1"/>
    <col min="9" max="18" width="12.7109375" style="2" bestFit="1" customWidth="1"/>
    <col min="19" max="19" width="14.42578125" style="2" bestFit="1" customWidth="1"/>
    <col min="20" max="31" width="11.42578125" style="2" customWidth="1"/>
    <col min="32" max="16384" width="8.85546875" style="2"/>
  </cols>
  <sheetData>
    <row r="1" spans="1:19" ht="33.75" customHeight="1" x14ac:dyDescent="0.25">
      <c r="A1" s="557" t="s">
        <v>564</v>
      </c>
      <c r="B1" s="328"/>
      <c r="C1" s="328"/>
      <c r="D1" s="331"/>
      <c r="E1" s="5"/>
      <c r="F1" s="5"/>
      <c r="G1" s="5"/>
      <c r="H1" s="5"/>
      <c r="I1" s="5"/>
      <c r="J1" s="5"/>
      <c r="K1" s="5"/>
    </row>
    <row r="2" spans="1:19" ht="18" customHeight="1" x14ac:dyDescent="0.25">
      <c r="A2" s="606" t="s">
        <v>404</v>
      </c>
      <c r="B2" s="606"/>
      <c r="C2" s="606"/>
      <c r="D2" s="606"/>
      <c r="E2" s="606"/>
      <c r="F2" s="606"/>
      <c r="G2" s="606"/>
      <c r="H2" s="606"/>
      <c r="I2" s="606"/>
      <c r="J2" s="606"/>
      <c r="K2" s="606"/>
      <c r="L2" s="606"/>
      <c r="M2" s="606"/>
      <c r="N2" s="606"/>
      <c r="O2" s="606"/>
      <c r="P2" s="606"/>
      <c r="Q2" s="606"/>
      <c r="R2" s="606"/>
      <c r="S2" s="606"/>
    </row>
    <row r="3" spans="1:19" ht="18.75" customHeight="1" thickBot="1" x14ac:dyDescent="0.3">
      <c r="A3" s="27"/>
      <c r="B3" s="21"/>
      <c r="C3" s="21"/>
      <c r="D3" s="5"/>
      <c r="E3" s="5"/>
      <c r="F3" s="5"/>
      <c r="G3" s="5"/>
      <c r="H3" s="5"/>
      <c r="I3" s="5"/>
      <c r="J3" s="5"/>
      <c r="K3" s="5"/>
    </row>
    <row r="4" spans="1:19" s="1" customFormat="1" ht="15.75" customHeight="1" thickTop="1" x14ac:dyDescent="0.25">
      <c r="A4" s="28"/>
      <c r="B4" s="597" t="s">
        <v>31</v>
      </c>
      <c r="C4" s="598"/>
      <c r="D4" s="598"/>
      <c r="E4" s="600" t="s">
        <v>77</v>
      </c>
      <c r="F4" s="602" t="s">
        <v>78</v>
      </c>
      <c r="G4" s="630" t="s">
        <v>405</v>
      </c>
      <c r="H4" s="628" t="s">
        <v>406</v>
      </c>
      <c r="I4" s="628" t="s">
        <v>407</v>
      </c>
      <c r="J4" s="628" t="s">
        <v>408</v>
      </c>
      <c r="K4" s="628" t="s">
        <v>409</v>
      </c>
      <c r="L4" s="628" t="s">
        <v>410</v>
      </c>
      <c r="M4" s="628" t="s">
        <v>411</v>
      </c>
      <c r="N4" s="628" t="s">
        <v>412</v>
      </c>
      <c r="O4" s="628" t="s">
        <v>413</v>
      </c>
      <c r="P4" s="628" t="s">
        <v>414</v>
      </c>
      <c r="Q4" s="628" t="s">
        <v>415</v>
      </c>
      <c r="R4" s="628" t="s">
        <v>416</v>
      </c>
      <c r="S4" s="628" t="s">
        <v>417</v>
      </c>
    </row>
    <row r="5" spans="1:19" s="40" customFormat="1" ht="15.75" thickBot="1" x14ac:dyDescent="0.3">
      <c r="A5" s="37"/>
      <c r="B5" s="610"/>
      <c r="C5" s="610"/>
      <c r="D5" s="610"/>
      <c r="E5" s="611"/>
      <c r="F5" s="626"/>
      <c r="G5" s="631"/>
      <c r="H5" s="629" t="s">
        <v>385</v>
      </c>
      <c r="I5" s="629" t="s">
        <v>386</v>
      </c>
      <c r="J5" s="629" t="s">
        <v>387</v>
      </c>
      <c r="K5" s="629" t="s">
        <v>388</v>
      </c>
      <c r="L5" s="629" t="s">
        <v>385</v>
      </c>
      <c r="M5" s="629" t="s">
        <v>386</v>
      </c>
      <c r="N5" s="629" t="s">
        <v>387</v>
      </c>
      <c r="O5" s="629" t="s">
        <v>388</v>
      </c>
      <c r="P5" s="629" t="s">
        <v>385</v>
      </c>
      <c r="Q5" s="629" t="s">
        <v>386</v>
      </c>
      <c r="R5" s="629" t="s">
        <v>387</v>
      </c>
      <c r="S5" s="629" t="s">
        <v>387</v>
      </c>
    </row>
    <row r="6" spans="1:19" s="39" customFormat="1" ht="20.25" customHeight="1" thickTop="1" x14ac:dyDescent="0.25">
      <c r="A6" s="38"/>
      <c r="B6" s="41" t="s">
        <v>79</v>
      </c>
      <c r="E6" s="69"/>
      <c r="F6" s="70"/>
      <c r="G6" s="434"/>
      <c r="H6" s="382"/>
      <c r="I6" s="382"/>
      <c r="J6" s="382"/>
      <c r="K6" s="382"/>
      <c r="L6" s="382"/>
      <c r="M6" s="382"/>
      <c r="N6" s="382"/>
      <c r="O6" s="382"/>
      <c r="P6" s="382"/>
      <c r="Q6" s="382"/>
      <c r="R6" s="435"/>
      <c r="S6" s="435"/>
    </row>
    <row r="7" spans="1:19" ht="3" customHeight="1" x14ac:dyDescent="0.2">
      <c r="A7" s="29"/>
      <c r="B7" s="35"/>
      <c r="C7" s="12"/>
      <c r="D7" s="12"/>
      <c r="E7" s="71"/>
      <c r="F7" s="72"/>
      <c r="G7" s="436"/>
      <c r="H7" s="385"/>
      <c r="I7" s="385"/>
      <c r="J7" s="385"/>
      <c r="K7" s="385"/>
      <c r="L7" s="385"/>
      <c r="M7" s="385"/>
      <c r="N7" s="385"/>
      <c r="O7" s="385"/>
      <c r="P7" s="385"/>
      <c r="Q7" s="385"/>
      <c r="R7" s="398"/>
      <c r="S7" s="398"/>
    </row>
    <row r="8" spans="1:19" x14ac:dyDescent="0.2">
      <c r="A8" s="30"/>
      <c r="B8" s="25" t="s">
        <v>80</v>
      </c>
      <c r="C8" s="11"/>
      <c r="D8" s="11"/>
      <c r="E8" s="61"/>
      <c r="F8" s="62"/>
      <c r="G8" s="414"/>
      <c r="H8" s="388"/>
      <c r="I8" s="388"/>
      <c r="J8" s="388"/>
      <c r="K8" s="388"/>
      <c r="L8" s="388"/>
      <c r="M8" s="388"/>
      <c r="N8" s="388"/>
      <c r="O8" s="388"/>
      <c r="P8" s="388"/>
      <c r="Q8" s="388"/>
      <c r="R8" s="399"/>
      <c r="S8" s="399"/>
    </row>
    <row r="9" spans="1:19" x14ac:dyDescent="0.2">
      <c r="A9" s="205">
        <v>1</v>
      </c>
      <c r="B9" s="36"/>
      <c r="C9" s="9" t="s">
        <v>81</v>
      </c>
      <c r="D9" s="9"/>
      <c r="E9" s="18"/>
      <c r="F9" s="19" t="s">
        <v>82</v>
      </c>
      <c r="G9" s="429">
        <v>180157.91666666666</v>
      </c>
      <c r="H9" s="391">
        <v>180157.91666666666</v>
      </c>
      <c r="I9" s="391">
        <v>180157.91666666666</v>
      </c>
      <c r="J9" s="391">
        <v>180157.91666666666</v>
      </c>
      <c r="K9" s="391">
        <v>180157.91666666666</v>
      </c>
      <c r="L9" s="391">
        <v>180157.91666666666</v>
      </c>
      <c r="M9" s="391">
        <v>180157.91666666666</v>
      </c>
      <c r="N9" s="391">
        <v>180157.91666666666</v>
      </c>
      <c r="O9" s="391">
        <v>180157.91666666666</v>
      </c>
      <c r="P9" s="391">
        <v>180157.91666666666</v>
      </c>
      <c r="Q9" s="391">
        <v>180157.91666666666</v>
      </c>
      <c r="R9" s="400">
        <v>180157.91666666666</v>
      </c>
      <c r="S9" s="400">
        <f>SUM(G9:R9)</f>
        <v>2161895.0000000005</v>
      </c>
    </row>
    <row r="10" spans="1:19" x14ac:dyDescent="0.2">
      <c r="A10" s="205">
        <v>2</v>
      </c>
      <c r="B10" s="36"/>
      <c r="C10" s="9" t="s">
        <v>84</v>
      </c>
      <c r="D10" s="9"/>
      <c r="E10" s="18"/>
      <c r="F10" s="19" t="s">
        <v>85</v>
      </c>
      <c r="G10" s="429">
        <v>0</v>
      </c>
      <c r="H10" s="391">
        <v>0</v>
      </c>
      <c r="I10" s="391">
        <v>0</v>
      </c>
      <c r="J10" s="391">
        <v>0</v>
      </c>
      <c r="K10" s="391">
        <v>0</v>
      </c>
      <c r="L10" s="391">
        <v>0</v>
      </c>
      <c r="M10" s="391">
        <v>0</v>
      </c>
      <c r="N10" s="391">
        <v>0</v>
      </c>
      <c r="O10" s="391">
        <v>0</v>
      </c>
      <c r="P10" s="391">
        <v>0</v>
      </c>
      <c r="Q10" s="391">
        <v>0</v>
      </c>
      <c r="R10" s="400">
        <v>0</v>
      </c>
      <c r="S10" s="400">
        <f t="shared" ref="S10:S18" si="0">SUM(G10:R10)</f>
        <v>0</v>
      </c>
    </row>
    <row r="11" spans="1:19" x14ac:dyDescent="0.2">
      <c r="A11" s="205">
        <v>3</v>
      </c>
      <c r="B11" s="36"/>
      <c r="C11" s="9" t="s">
        <v>86</v>
      </c>
      <c r="D11" s="9"/>
      <c r="E11" s="18"/>
      <c r="F11" s="19" t="s">
        <v>87</v>
      </c>
      <c r="G11" s="429">
        <v>0</v>
      </c>
      <c r="H11" s="391">
        <v>0</v>
      </c>
      <c r="I11" s="391">
        <v>0</v>
      </c>
      <c r="J11" s="391">
        <v>0</v>
      </c>
      <c r="K11" s="391">
        <v>0</v>
      </c>
      <c r="L11" s="391">
        <v>0</v>
      </c>
      <c r="M11" s="391">
        <v>0</v>
      </c>
      <c r="N11" s="391">
        <v>0</v>
      </c>
      <c r="O11" s="391">
        <v>0</v>
      </c>
      <c r="P11" s="391">
        <v>0</v>
      </c>
      <c r="Q11" s="391">
        <v>0</v>
      </c>
      <c r="R11" s="400">
        <v>0</v>
      </c>
      <c r="S11" s="400">
        <f t="shared" si="0"/>
        <v>0</v>
      </c>
    </row>
    <row r="12" spans="1:19" x14ac:dyDescent="0.2">
      <c r="A12" s="205">
        <v>4</v>
      </c>
      <c r="B12" s="36"/>
      <c r="C12" s="9" t="s">
        <v>88</v>
      </c>
      <c r="D12" s="9"/>
      <c r="E12" s="18"/>
      <c r="F12" s="19">
        <v>1800</v>
      </c>
      <c r="G12" s="429">
        <v>0</v>
      </c>
      <c r="H12" s="391">
        <v>0</v>
      </c>
      <c r="I12" s="391">
        <v>0</v>
      </c>
      <c r="J12" s="391">
        <v>0</v>
      </c>
      <c r="K12" s="391">
        <v>0</v>
      </c>
      <c r="L12" s="391">
        <v>0</v>
      </c>
      <c r="M12" s="391">
        <v>0</v>
      </c>
      <c r="N12" s="391">
        <v>0</v>
      </c>
      <c r="O12" s="391">
        <v>0</v>
      </c>
      <c r="P12" s="391">
        <v>0</v>
      </c>
      <c r="Q12" s="391">
        <v>0</v>
      </c>
      <c r="R12" s="400">
        <v>0</v>
      </c>
      <c r="S12" s="400">
        <f t="shared" si="0"/>
        <v>0</v>
      </c>
    </row>
    <row r="13" spans="1:19" x14ac:dyDescent="0.2">
      <c r="A13" s="205"/>
      <c r="B13" s="36"/>
      <c r="C13" s="9" t="s">
        <v>89</v>
      </c>
      <c r="D13" s="9"/>
      <c r="E13" s="61"/>
      <c r="F13" s="62"/>
      <c r="G13" s="414"/>
      <c r="H13" s="388"/>
      <c r="I13" s="388"/>
      <c r="J13" s="388"/>
      <c r="K13" s="388"/>
      <c r="L13" s="388"/>
      <c r="M13" s="388"/>
      <c r="N13" s="388"/>
      <c r="O13" s="388"/>
      <c r="P13" s="388"/>
      <c r="Q13" s="388"/>
      <c r="R13" s="399"/>
      <c r="S13" s="399"/>
    </row>
    <row r="14" spans="1:19" x14ac:dyDescent="0.2">
      <c r="A14" s="205">
        <v>5</v>
      </c>
      <c r="B14" s="36"/>
      <c r="C14" s="9"/>
      <c r="D14" s="9" t="s">
        <v>90</v>
      </c>
      <c r="E14" s="18"/>
      <c r="F14" s="19" t="s">
        <v>91</v>
      </c>
      <c r="G14" s="429">
        <v>200000</v>
      </c>
      <c r="H14" s="391">
        <v>0</v>
      </c>
      <c r="I14" s="391">
        <v>0</v>
      </c>
      <c r="J14" s="391">
        <v>0</v>
      </c>
      <c r="K14" s="391">
        <v>0</v>
      </c>
      <c r="L14" s="391">
        <v>0</v>
      </c>
      <c r="M14" s="391">
        <v>50000</v>
      </c>
      <c r="N14" s="391">
        <v>0</v>
      </c>
      <c r="O14" s="391">
        <v>0</v>
      </c>
      <c r="P14" s="391">
        <v>0</v>
      </c>
      <c r="Q14" s="391">
        <v>0</v>
      </c>
      <c r="R14" s="400">
        <v>0</v>
      </c>
      <c r="S14" s="400">
        <f t="shared" si="0"/>
        <v>250000</v>
      </c>
    </row>
    <row r="15" spans="1:19" x14ac:dyDescent="0.2">
      <c r="A15" s="205">
        <v>6</v>
      </c>
      <c r="B15" s="36"/>
      <c r="C15" s="9"/>
      <c r="D15" s="9" t="s">
        <v>93</v>
      </c>
      <c r="E15" s="18"/>
      <c r="F15" s="19" t="s">
        <v>94</v>
      </c>
      <c r="G15" s="429">
        <v>0</v>
      </c>
      <c r="H15" s="391">
        <v>0</v>
      </c>
      <c r="I15" s="391">
        <v>0</v>
      </c>
      <c r="J15" s="391">
        <v>0</v>
      </c>
      <c r="K15" s="391">
        <v>0</v>
      </c>
      <c r="L15" s="391">
        <v>0</v>
      </c>
      <c r="M15" s="391">
        <v>0</v>
      </c>
      <c r="N15" s="391">
        <v>0</v>
      </c>
      <c r="O15" s="391">
        <v>0</v>
      </c>
      <c r="P15" s="391">
        <v>0</v>
      </c>
      <c r="Q15" s="391">
        <v>0</v>
      </c>
      <c r="R15" s="400">
        <v>0</v>
      </c>
      <c r="S15" s="400">
        <f t="shared" si="0"/>
        <v>0</v>
      </c>
    </row>
    <row r="16" spans="1:19" x14ac:dyDescent="0.2">
      <c r="A16" s="207">
        <v>7</v>
      </c>
      <c r="B16" s="42"/>
      <c r="C16" s="43"/>
      <c r="D16" s="43" t="s">
        <v>95</v>
      </c>
      <c r="E16" s="22"/>
      <c r="F16" s="23" t="s">
        <v>96</v>
      </c>
      <c r="G16" s="429">
        <v>0</v>
      </c>
      <c r="H16" s="391">
        <v>4961.3089657738092</v>
      </c>
      <c r="I16" s="391">
        <v>4961.3089657738092</v>
      </c>
      <c r="J16" s="391">
        <v>4961.3089657738092</v>
      </c>
      <c r="K16" s="391">
        <v>4961.3089657738092</v>
      </c>
      <c r="L16" s="391">
        <v>4961.3089657738092</v>
      </c>
      <c r="M16" s="391">
        <v>4961.3089657738092</v>
      </c>
      <c r="N16" s="391">
        <v>4961.3089657738092</v>
      </c>
      <c r="O16" s="391">
        <v>4961.3089657738092</v>
      </c>
      <c r="P16" s="391">
        <v>4961.3089657738092</v>
      </c>
      <c r="Q16" s="391">
        <v>4961.3089657738092</v>
      </c>
      <c r="R16" s="400">
        <v>4961.3089657738092</v>
      </c>
      <c r="S16" s="400">
        <f t="shared" si="0"/>
        <v>54574.398623511901</v>
      </c>
    </row>
    <row r="17" spans="1:19" s="94" customFormat="1" ht="12.75" x14ac:dyDescent="0.2">
      <c r="A17" s="209">
        <v>8</v>
      </c>
      <c r="B17" s="91"/>
      <c r="C17" s="82" t="s">
        <v>98</v>
      </c>
      <c r="D17" s="82"/>
      <c r="E17" s="92"/>
      <c r="F17" s="93"/>
      <c r="G17" s="429">
        <v>0</v>
      </c>
      <c r="H17" s="391">
        <v>0</v>
      </c>
      <c r="I17" s="391">
        <v>0</v>
      </c>
      <c r="J17" s="391">
        <v>0</v>
      </c>
      <c r="K17" s="391">
        <v>0</v>
      </c>
      <c r="L17" s="391">
        <v>0</v>
      </c>
      <c r="M17" s="391">
        <v>0</v>
      </c>
      <c r="N17" s="391">
        <v>0</v>
      </c>
      <c r="O17" s="391">
        <v>0</v>
      </c>
      <c r="P17" s="391">
        <v>0</v>
      </c>
      <c r="Q17" s="391">
        <v>0</v>
      </c>
      <c r="R17" s="400">
        <v>0</v>
      </c>
      <c r="S17" s="400">
        <f t="shared" si="0"/>
        <v>0</v>
      </c>
    </row>
    <row r="18" spans="1:19" x14ac:dyDescent="0.2">
      <c r="A18" s="207">
        <v>9</v>
      </c>
      <c r="B18" s="42"/>
      <c r="C18" s="43"/>
      <c r="D18" s="43"/>
      <c r="E18" s="22"/>
      <c r="F18" s="23"/>
      <c r="G18" s="429">
        <v>0</v>
      </c>
      <c r="H18" s="391">
        <v>0</v>
      </c>
      <c r="I18" s="391">
        <v>0</v>
      </c>
      <c r="J18" s="391">
        <v>0</v>
      </c>
      <c r="K18" s="391">
        <v>0</v>
      </c>
      <c r="L18" s="391">
        <v>0</v>
      </c>
      <c r="M18" s="391">
        <v>0</v>
      </c>
      <c r="N18" s="391">
        <v>0</v>
      </c>
      <c r="O18" s="391">
        <v>0</v>
      </c>
      <c r="P18" s="391">
        <v>0</v>
      </c>
      <c r="Q18" s="391">
        <v>0</v>
      </c>
      <c r="R18" s="400">
        <v>0</v>
      </c>
      <c r="S18" s="400">
        <f t="shared" si="0"/>
        <v>0</v>
      </c>
    </row>
    <row r="19" spans="1:19" x14ac:dyDescent="0.2">
      <c r="A19" s="210">
        <v>10</v>
      </c>
      <c r="B19" s="47" t="s">
        <v>99</v>
      </c>
      <c r="C19" s="6"/>
      <c r="D19" s="48"/>
      <c r="E19" s="49"/>
      <c r="F19" s="50"/>
      <c r="G19" s="438">
        <f t="shared" ref="G19:R19" si="1">SUM(G9:G18)</f>
        <v>380157.91666666663</v>
      </c>
      <c r="H19" s="415">
        <f t="shared" si="1"/>
        <v>185119.22563244047</v>
      </c>
      <c r="I19" s="415">
        <f t="shared" si="1"/>
        <v>185119.22563244047</v>
      </c>
      <c r="J19" s="415">
        <f t="shared" si="1"/>
        <v>185119.22563244047</v>
      </c>
      <c r="K19" s="415">
        <f t="shared" si="1"/>
        <v>185119.22563244047</v>
      </c>
      <c r="L19" s="415">
        <f t="shared" si="1"/>
        <v>185119.22563244047</v>
      </c>
      <c r="M19" s="415">
        <f t="shared" si="1"/>
        <v>235119.22563244047</v>
      </c>
      <c r="N19" s="415">
        <f t="shared" si="1"/>
        <v>185119.22563244047</v>
      </c>
      <c r="O19" s="415">
        <f t="shared" si="1"/>
        <v>185119.22563244047</v>
      </c>
      <c r="P19" s="415">
        <f t="shared" si="1"/>
        <v>185119.22563244047</v>
      </c>
      <c r="Q19" s="415">
        <f t="shared" si="1"/>
        <v>185119.22563244047</v>
      </c>
      <c r="R19" s="402">
        <f t="shared" si="1"/>
        <v>185119.22563244047</v>
      </c>
      <c r="S19" s="402">
        <f t="shared" ref="S19" si="2">SUM(S9:S18)</f>
        <v>2466469.3986235126</v>
      </c>
    </row>
    <row r="20" spans="1:19" x14ac:dyDescent="0.2">
      <c r="A20" s="29"/>
      <c r="B20" s="35"/>
      <c r="C20" s="12"/>
      <c r="D20" s="12"/>
      <c r="E20" s="71"/>
      <c r="F20" s="72"/>
      <c r="G20" s="436"/>
      <c r="H20" s="385"/>
      <c r="I20" s="385"/>
      <c r="J20" s="385"/>
      <c r="K20" s="385"/>
      <c r="L20" s="385"/>
      <c r="M20" s="385"/>
      <c r="N20" s="385"/>
      <c r="O20" s="385"/>
      <c r="P20" s="385"/>
      <c r="Q20" s="385"/>
      <c r="R20" s="398"/>
      <c r="S20" s="398"/>
    </row>
    <row r="21" spans="1:19" x14ac:dyDescent="0.2">
      <c r="A21" s="30"/>
      <c r="B21" s="25" t="s">
        <v>100</v>
      </c>
      <c r="C21" s="11"/>
      <c r="D21" s="11"/>
      <c r="E21" s="61"/>
      <c r="F21" s="62"/>
      <c r="G21" s="414"/>
      <c r="H21" s="388"/>
      <c r="I21" s="388"/>
      <c r="J21" s="388"/>
      <c r="K21" s="388"/>
      <c r="L21" s="388"/>
      <c r="M21" s="388"/>
      <c r="N21" s="388"/>
      <c r="O21" s="388"/>
      <c r="P21" s="388"/>
      <c r="Q21" s="388"/>
      <c r="R21" s="399"/>
      <c r="S21" s="399"/>
    </row>
    <row r="22" spans="1:19" x14ac:dyDescent="0.2">
      <c r="A22" s="31"/>
      <c r="B22" s="36"/>
      <c r="C22" s="9" t="s">
        <v>101</v>
      </c>
      <c r="D22" s="9"/>
      <c r="E22" s="61"/>
      <c r="F22" s="62"/>
      <c r="G22" s="414"/>
      <c r="H22" s="388"/>
      <c r="I22" s="388"/>
      <c r="J22" s="388"/>
      <c r="K22" s="388"/>
      <c r="L22" s="388"/>
      <c r="M22" s="388"/>
      <c r="N22" s="388"/>
      <c r="O22" s="388"/>
      <c r="P22" s="388"/>
      <c r="Q22" s="388"/>
      <c r="R22" s="399"/>
      <c r="S22" s="399"/>
    </row>
    <row r="23" spans="1:19" x14ac:dyDescent="0.2">
      <c r="A23" s="31">
        <v>11</v>
      </c>
      <c r="B23" s="36"/>
      <c r="C23" s="9"/>
      <c r="D23" s="9" t="s">
        <v>102</v>
      </c>
      <c r="E23" s="18"/>
      <c r="F23" s="19" t="s">
        <v>103</v>
      </c>
      <c r="G23" s="429">
        <v>147237.96786028938</v>
      </c>
      <c r="H23" s="391">
        <v>147237.96786028938</v>
      </c>
      <c r="I23" s="391">
        <v>147237.96786028938</v>
      </c>
      <c r="J23" s="391">
        <v>147237.96786028938</v>
      </c>
      <c r="K23" s="391">
        <v>147237.96786028938</v>
      </c>
      <c r="L23" s="391">
        <v>147237.96786028938</v>
      </c>
      <c r="M23" s="391">
        <v>147237.96786028938</v>
      </c>
      <c r="N23" s="391">
        <v>147237.96786028938</v>
      </c>
      <c r="O23" s="391">
        <v>147237.96786028938</v>
      </c>
      <c r="P23" s="391">
        <v>147237.96786028938</v>
      </c>
      <c r="Q23" s="391">
        <v>147237.96786028938</v>
      </c>
      <c r="R23" s="400">
        <v>147237.96786028938</v>
      </c>
      <c r="S23" s="400">
        <f>SUM(G23:R23)</f>
        <v>1766855.6143234726</v>
      </c>
    </row>
    <row r="24" spans="1:19" x14ac:dyDescent="0.2">
      <c r="A24" s="205">
        <v>12</v>
      </c>
      <c r="B24" s="36"/>
      <c r="C24" s="9"/>
      <c r="D24" s="9" t="s">
        <v>104</v>
      </c>
      <c r="E24" s="18"/>
      <c r="F24" s="19" t="s">
        <v>105</v>
      </c>
      <c r="G24" s="429">
        <v>0</v>
      </c>
      <c r="H24" s="391">
        <v>0</v>
      </c>
      <c r="I24" s="391">
        <v>0</v>
      </c>
      <c r="J24" s="391">
        <v>0</v>
      </c>
      <c r="K24" s="391">
        <v>0</v>
      </c>
      <c r="L24" s="391">
        <v>0</v>
      </c>
      <c r="M24" s="391">
        <v>0</v>
      </c>
      <c r="N24" s="391">
        <v>0</v>
      </c>
      <c r="O24" s="391">
        <v>0</v>
      </c>
      <c r="P24" s="391">
        <v>0</v>
      </c>
      <c r="Q24" s="391">
        <v>0</v>
      </c>
      <c r="R24" s="400">
        <v>0</v>
      </c>
      <c r="S24" s="400">
        <f>SUM(G24:R24)</f>
        <v>0</v>
      </c>
    </row>
    <row r="25" spans="1:19" x14ac:dyDescent="0.2">
      <c r="A25" s="205"/>
      <c r="B25" s="36"/>
      <c r="C25" s="9" t="s">
        <v>106</v>
      </c>
      <c r="D25" s="9"/>
      <c r="E25" s="61"/>
      <c r="F25" s="62"/>
      <c r="G25" s="414"/>
      <c r="H25" s="388"/>
      <c r="I25" s="388"/>
      <c r="J25" s="388"/>
      <c r="K25" s="388"/>
      <c r="L25" s="388"/>
      <c r="M25" s="388"/>
      <c r="N25" s="388"/>
      <c r="O25" s="388"/>
      <c r="P25" s="388"/>
      <c r="Q25" s="388"/>
      <c r="R25" s="399"/>
      <c r="S25" s="399"/>
    </row>
    <row r="26" spans="1:19" x14ac:dyDescent="0.2">
      <c r="A26" s="205">
        <v>13</v>
      </c>
      <c r="B26" s="36"/>
      <c r="C26" s="9"/>
      <c r="D26" s="9" t="s">
        <v>107</v>
      </c>
      <c r="E26" s="18"/>
      <c r="F26" s="19" t="s">
        <v>108</v>
      </c>
      <c r="G26" s="429">
        <v>0</v>
      </c>
      <c r="H26" s="391">
        <v>0</v>
      </c>
      <c r="I26" s="391">
        <v>0</v>
      </c>
      <c r="J26" s="391">
        <v>0</v>
      </c>
      <c r="K26" s="391">
        <v>0</v>
      </c>
      <c r="L26" s="391">
        <v>0</v>
      </c>
      <c r="M26" s="391">
        <v>0</v>
      </c>
      <c r="N26" s="391">
        <v>0</v>
      </c>
      <c r="O26" s="391">
        <v>0</v>
      </c>
      <c r="P26" s="391">
        <v>0</v>
      </c>
      <c r="Q26" s="391">
        <v>0</v>
      </c>
      <c r="R26" s="400">
        <v>0</v>
      </c>
      <c r="S26" s="400">
        <f>SUM(G26:R26)</f>
        <v>0</v>
      </c>
    </row>
    <row r="27" spans="1:19" x14ac:dyDescent="0.2">
      <c r="A27" s="205">
        <v>14</v>
      </c>
      <c r="B27" s="36"/>
      <c r="C27" s="9"/>
      <c r="D27" s="9" t="s">
        <v>109</v>
      </c>
      <c r="E27" s="18"/>
      <c r="F27" s="19" t="s">
        <v>110</v>
      </c>
      <c r="G27" s="429">
        <v>0</v>
      </c>
      <c r="H27" s="391">
        <v>0</v>
      </c>
      <c r="I27" s="391">
        <v>0</v>
      </c>
      <c r="J27" s="391">
        <v>0</v>
      </c>
      <c r="K27" s="391">
        <v>0</v>
      </c>
      <c r="L27" s="391">
        <v>0</v>
      </c>
      <c r="M27" s="391">
        <v>0</v>
      </c>
      <c r="N27" s="391">
        <v>0</v>
      </c>
      <c r="O27" s="391">
        <v>0</v>
      </c>
      <c r="P27" s="391">
        <v>0</v>
      </c>
      <c r="Q27" s="391">
        <v>0</v>
      </c>
      <c r="R27" s="400">
        <v>0</v>
      </c>
      <c r="S27" s="400">
        <f>SUM(G27:R27)</f>
        <v>0</v>
      </c>
    </row>
    <row r="28" spans="1:19" x14ac:dyDescent="0.2">
      <c r="A28" s="207">
        <v>15</v>
      </c>
      <c r="B28" s="42"/>
      <c r="C28" s="43"/>
      <c r="D28" s="43" t="s">
        <v>111</v>
      </c>
      <c r="E28" s="22"/>
      <c r="F28" s="23" t="s">
        <v>112</v>
      </c>
      <c r="G28" s="429">
        <v>0</v>
      </c>
      <c r="H28" s="391">
        <v>0</v>
      </c>
      <c r="I28" s="391">
        <v>0</v>
      </c>
      <c r="J28" s="391">
        <v>0</v>
      </c>
      <c r="K28" s="391">
        <v>0</v>
      </c>
      <c r="L28" s="391">
        <v>0</v>
      </c>
      <c r="M28" s="391">
        <v>0</v>
      </c>
      <c r="N28" s="391">
        <v>0</v>
      </c>
      <c r="O28" s="391">
        <v>0</v>
      </c>
      <c r="P28" s="391">
        <v>0</v>
      </c>
      <c r="Q28" s="391">
        <v>0</v>
      </c>
      <c r="R28" s="400">
        <v>0</v>
      </c>
      <c r="S28" s="400">
        <f>SUM(G28:R28)</f>
        <v>0</v>
      </c>
    </row>
    <row r="29" spans="1:19" s="94" customFormat="1" ht="12.75" x14ac:dyDescent="0.2">
      <c r="A29" s="209">
        <v>16</v>
      </c>
      <c r="B29" s="91"/>
      <c r="C29" s="82" t="s">
        <v>98</v>
      </c>
      <c r="D29" s="82"/>
      <c r="E29" s="92"/>
      <c r="F29" s="93"/>
      <c r="G29" s="429">
        <v>0</v>
      </c>
      <c r="H29" s="391">
        <v>0</v>
      </c>
      <c r="I29" s="391">
        <v>0</v>
      </c>
      <c r="J29" s="391">
        <v>0</v>
      </c>
      <c r="K29" s="391">
        <v>0</v>
      </c>
      <c r="L29" s="391">
        <v>0</v>
      </c>
      <c r="M29" s="391">
        <v>0</v>
      </c>
      <c r="N29" s="391">
        <v>0</v>
      </c>
      <c r="O29" s="391">
        <v>0</v>
      </c>
      <c r="P29" s="391">
        <v>0</v>
      </c>
      <c r="Q29" s="391">
        <v>0</v>
      </c>
      <c r="R29" s="400">
        <v>0</v>
      </c>
      <c r="S29" s="400">
        <f>SUM(G29:R29)</f>
        <v>0</v>
      </c>
    </row>
    <row r="30" spans="1:19" x14ac:dyDescent="0.2">
      <c r="A30" s="207">
        <v>17</v>
      </c>
      <c r="B30" s="42"/>
      <c r="C30" s="43"/>
      <c r="D30" s="43"/>
      <c r="E30" s="22"/>
      <c r="F30" s="23"/>
      <c r="G30" s="429">
        <v>0</v>
      </c>
      <c r="H30" s="391">
        <v>0</v>
      </c>
      <c r="I30" s="391">
        <v>0</v>
      </c>
      <c r="J30" s="391">
        <v>0</v>
      </c>
      <c r="K30" s="391">
        <v>0</v>
      </c>
      <c r="L30" s="391">
        <v>0</v>
      </c>
      <c r="M30" s="391">
        <v>0</v>
      </c>
      <c r="N30" s="391">
        <v>0</v>
      </c>
      <c r="O30" s="391">
        <v>0</v>
      </c>
      <c r="P30" s="391">
        <v>0</v>
      </c>
      <c r="Q30" s="391">
        <v>0</v>
      </c>
      <c r="R30" s="400">
        <v>0</v>
      </c>
      <c r="S30" s="400">
        <f>SUM(G30:R30)</f>
        <v>0</v>
      </c>
    </row>
    <row r="31" spans="1:19" x14ac:dyDescent="0.2">
      <c r="A31" s="210">
        <v>18</v>
      </c>
      <c r="B31" s="47" t="s">
        <v>113</v>
      </c>
      <c r="C31" s="6"/>
      <c r="D31" s="6"/>
      <c r="E31" s="49"/>
      <c r="F31" s="50"/>
      <c r="G31" s="438">
        <f t="shared" ref="G31:S31" si="3">SUM(G23:G30)</f>
        <v>147237.96786028938</v>
      </c>
      <c r="H31" s="415">
        <f t="shared" si="3"/>
        <v>147237.96786028938</v>
      </c>
      <c r="I31" s="415">
        <f t="shared" si="3"/>
        <v>147237.96786028938</v>
      </c>
      <c r="J31" s="415">
        <f t="shared" si="3"/>
        <v>147237.96786028938</v>
      </c>
      <c r="K31" s="415">
        <f t="shared" si="3"/>
        <v>147237.96786028938</v>
      </c>
      <c r="L31" s="415">
        <f t="shared" si="3"/>
        <v>147237.96786028938</v>
      </c>
      <c r="M31" s="415">
        <f t="shared" si="3"/>
        <v>147237.96786028938</v>
      </c>
      <c r="N31" s="415">
        <f t="shared" si="3"/>
        <v>147237.96786028938</v>
      </c>
      <c r="O31" s="415">
        <f t="shared" si="3"/>
        <v>147237.96786028938</v>
      </c>
      <c r="P31" s="415">
        <f t="shared" si="3"/>
        <v>147237.96786028938</v>
      </c>
      <c r="Q31" s="415">
        <f t="shared" si="3"/>
        <v>147237.96786028938</v>
      </c>
      <c r="R31" s="402">
        <f t="shared" si="3"/>
        <v>147237.96786028938</v>
      </c>
      <c r="S31" s="402">
        <f t="shared" si="3"/>
        <v>1766855.6143234726</v>
      </c>
    </row>
    <row r="32" spans="1:19" s="101" customFormat="1" x14ac:dyDescent="0.2">
      <c r="A32" s="103"/>
      <c r="E32" s="102"/>
      <c r="F32" s="102"/>
    </row>
    <row r="33" spans="1:19" s="101" customFormat="1" x14ac:dyDescent="0.2">
      <c r="A33" s="100"/>
      <c r="E33" s="102"/>
      <c r="F33" s="102"/>
    </row>
    <row r="34" spans="1:19" s="101" customFormat="1" x14ac:dyDescent="0.2">
      <c r="A34" s="100"/>
      <c r="E34" s="102"/>
      <c r="F34" s="102"/>
    </row>
    <row r="35" spans="1:19" s="101" customFormat="1" x14ac:dyDescent="0.2">
      <c r="A35" s="100"/>
      <c r="E35" s="102"/>
      <c r="F35" s="102"/>
    </row>
    <row r="36" spans="1:19" s="101" customFormat="1" ht="42" customHeight="1" x14ac:dyDescent="0.2">
      <c r="A36" s="607" t="s">
        <v>114</v>
      </c>
      <c r="B36" s="625"/>
      <c r="C36" s="625"/>
      <c r="D36" s="625"/>
      <c r="E36" s="625"/>
      <c r="F36" s="625"/>
      <c r="G36" s="625"/>
      <c r="H36" s="625"/>
      <c r="I36" s="625"/>
      <c r="J36" s="625"/>
      <c r="K36" s="625"/>
    </row>
    <row r="37" spans="1:19" s="101" customFormat="1" x14ac:dyDescent="0.2">
      <c r="A37" s="100"/>
      <c r="E37" s="102"/>
      <c r="F37" s="102"/>
    </row>
    <row r="38" spans="1:19" s="101" customFormat="1" x14ac:dyDescent="0.2">
      <c r="A38" s="100"/>
      <c r="E38" s="102"/>
      <c r="F38" s="102"/>
    </row>
    <row r="39" spans="1:19" x14ac:dyDescent="0.2">
      <c r="A39" s="211"/>
      <c r="B39" s="26" t="s">
        <v>115</v>
      </c>
      <c r="C39" s="24"/>
      <c r="D39" s="24"/>
      <c r="E39" s="71"/>
      <c r="F39" s="153"/>
      <c r="G39" s="436"/>
      <c r="H39" s="385"/>
      <c r="I39" s="385"/>
      <c r="J39" s="385"/>
      <c r="K39" s="385"/>
      <c r="L39" s="385"/>
      <c r="M39" s="385"/>
      <c r="N39" s="385"/>
      <c r="O39" s="385"/>
      <c r="P39" s="385"/>
      <c r="Q39" s="385"/>
      <c r="R39" s="398"/>
      <c r="S39" s="398"/>
    </row>
    <row r="40" spans="1:19" x14ac:dyDescent="0.2">
      <c r="A40" s="205"/>
      <c r="B40" s="36"/>
      <c r="C40" s="9" t="s">
        <v>116</v>
      </c>
      <c r="D40" s="9"/>
      <c r="E40" s="61"/>
      <c r="F40" s="154"/>
      <c r="G40" s="414"/>
      <c r="H40" s="388"/>
      <c r="I40" s="388"/>
      <c r="J40" s="388"/>
      <c r="K40" s="388"/>
      <c r="L40" s="388"/>
      <c r="M40" s="388"/>
      <c r="N40" s="388"/>
      <c r="O40" s="388"/>
      <c r="P40" s="388"/>
      <c r="Q40" s="388"/>
      <c r="R40" s="399"/>
      <c r="S40" s="399"/>
    </row>
    <row r="41" spans="1:19" x14ac:dyDescent="0.2">
      <c r="A41" s="205">
        <v>19</v>
      </c>
      <c r="B41" s="36"/>
      <c r="C41" s="9"/>
      <c r="D41" s="9" t="s">
        <v>117</v>
      </c>
      <c r="E41" s="18"/>
      <c r="F41" s="155" t="s">
        <v>118</v>
      </c>
      <c r="G41" s="429">
        <v>0</v>
      </c>
      <c r="H41" s="391">
        <v>0</v>
      </c>
      <c r="I41" s="391">
        <v>0</v>
      </c>
      <c r="J41" s="391">
        <v>0</v>
      </c>
      <c r="K41" s="391">
        <v>0</v>
      </c>
      <c r="L41" s="391">
        <v>0</v>
      </c>
      <c r="M41" s="391">
        <v>0</v>
      </c>
      <c r="N41" s="391">
        <v>0</v>
      </c>
      <c r="O41" s="391">
        <v>0</v>
      </c>
      <c r="P41" s="391">
        <v>0</v>
      </c>
      <c r="Q41" s="391">
        <v>0</v>
      </c>
      <c r="R41" s="400">
        <v>0</v>
      </c>
      <c r="S41" s="400">
        <f>SUM(G41:R41)</f>
        <v>0</v>
      </c>
    </row>
    <row r="42" spans="1:19" x14ac:dyDescent="0.2">
      <c r="A42" s="205"/>
      <c r="B42" s="36"/>
      <c r="C42" s="9" t="s">
        <v>119</v>
      </c>
      <c r="D42" s="9"/>
      <c r="E42" s="61"/>
      <c r="F42" s="154"/>
      <c r="G42" s="414"/>
      <c r="H42" s="388"/>
      <c r="I42" s="388"/>
      <c r="J42" s="388"/>
      <c r="K42" s="388"/>
      <c r="L42" s="388"/>
      <c r="M42" s="388"/>
      <c r="N42" s="388"/>
      <c r="O42" s="388"/>
      <c r="P42" s="388"/>
      <c r="Q42" s="388"/>
      <c r="R42" s="399"/>
      <c r="S42" s="399"/>
    </row>
    <row r="43" spans="1:19" x14ac:dyDescent="0.2">
      <c r="A43" s="205">
        <v>20</v>
      </c>
      <c r="B43" s="36"/>
      <c r="C43" s="9"/>
      <c r="D43" s="9" t="s">
        <v>120</v>
      </c>
      <c r="E43" s="18"/>
      <c r="F43" s="155" t="s">
        <v>121</v>
      </c>
      <c r="G43" s="429">
        <v>0</v>
      </c>
      <c r="H43" s="391">
        <v>0</v>
      </c>
      <c r="I43" s="391">
        <v>0</v>
      </c>
      <c r="J43" s="391">
        <v>0</v>
      </c>
      <c r="K43" s="391">
        <v>0</v>
      </c>
      <c r="L43" s="391">
        <v>0</v>
      </c>
      <c r="M43" s="391">
        <v>0</v>
      </c>
      <c r="N43" s="391">
        <v>0</v>
      </c>
      <c r="O43" s="391">
        <v>0</v>
      </c>
      <c r="P43" s="391">
        <v>0</v>
      </c>
      <c r="Q43" s="391">
        <v>0</v>
      </c>
      <c r="R43" s="400">
        <v>0</v>
      </c>
      <c r="S43" s="400">
        <f>SUM(G43:R43)</f>
        <v>0</v>
      </c>
    </row>
    <row r="44" spans="1:19" x14ac:dyDescent="0.2">
      <c r="A44" s="205"/>
      <c r="B44" s="36"/>
      <c r="C44" s="9" t="s">
        <v>122</v>
      </c>
      <c r="D44" s="9"/>
      <c r="E44" s="61"/>
      <c r="F44" s="154"/>
      <c r="G44" s="414"/>
      <c r="H44" s="388"/>
      <c r="I44" s="388"/>
      <c r="J44" s="388"/>
      <c r="K44" s="388"/>
      <c r="L44" s="388"/>
      <c r="M44" s="388"/>
      <c r="N44" s="388"/>
      <c r="O44" s="388"/>
      <c r="P44" s="388"/>
      <c r="Q44" s="388"/>
      <c r="R44" s="399"/>
      <c r="S44" s="399"/>
    </row>
    <row r="45" spans="1:19" x14ac:dyDescent="0.2">
      <c r="A45" s="205">
        <v>21</v>
      </c>
      <c r="B45" s="36"/>
      <c r="C45" s="9"/>
      <c r="D45" s="9" t="s">
        <v>123</v>
      </c>
      <c r="E45" s="18"/>
      <c r="F45" s="155" t="s">
        <v>124</v>
      </c>
      <c r="G45" s="429">
        <v>0</v>
      </c>
      <c r="H45" s="391">
        <f>26171.1474144345*0.5</f>
        <v>13085.573707217251</v>
      </c>
      <c r="I45" s="391">
        <v>26171.147414434527</v>
      </c>
      <c r="J45" s="391">
        <v>26171.147414434527</v>
      </c>
      <c r="K45" s="391">
        <v>26171.147414434527</v>
      </c>
      <c r="L45" s="391">
        <v>26171.147414434527</v>
      </c>
      <c r="M45" s="391">
        <v>26171.147414434527</v>
      </c>
      <c r="N45" s="391">
        <v>26171.147414434527</v>
      </c>
      <c r="O45" s="391">
        <v>26171.147414434527</v>
      </c>
      <c r="P45" s="391">
        <v>26171.147414434527</v>
      </c>
      <c r="Q45" s="391">
        <v>26171.147414434527</v>
      </c>
      <c r="R45" s="400">
        <v>26171.147414434527</v>
      </c>
      <c r="S45" s="400">
        <f>SUM(G45:R45)</f>
        <v>274797.0478515625</v>
      </c>
    </row>
    <row r="46" spans="1:19" x14ac:dyDescent="0.2">
      <c r="A46" s="205"/>
      <c r="B46" s="36"/>
      <c r="C46" s="9"/>
      <c r="D46" s="9" t="s">
        <v>126</v>
      </c>
      <c r="E46" s="61"/>
      <c r="F46" s="154"/>
      <c r="G46" s="414"/>
      <c r="H46" s="388"/>
      <c r="I46" s="388"/>
      <c r="J46" s="388"/>
      <c r="K46" s="388"/>
      <c r="L46" s="388"/>
      <c r="M46" s="388"/>
      <c r="N46" s="388"/>
      <c r="O46" s="388"/>
      <c r="P46" s="388"/>
      <c r="Q46" s="388"/>
      <c r="R46" s="399"/>
      <c r="S46" s="399"/>
    </row>
    <row r="47" spans="1:19" x14ac:dyDescent="0.2">
      <c r="A47" s="205">
        <v>22</v>
      </c>
      <c r="B47" s="36"/>
      <c r="C47" s="9"/>
      <c r="D47" s="9" t="s">
        <v>127</v>
      </c>
      <c r="E47" s="18"/>
      <c r="F47" s="155" t="s">
        <v>128</v>
      </c>
      <c r="G47" s="429">
        <v>0</v>
      </c>
      <c r="H47" s="391">
        <f>7514.21989468864*0.5</f>
        <v>3757.1099473443201</v>
      </c>
      <c r="I47" s="391">
        <v>7514.2198946886447</v>
      </c>
      <c r="J47" s="391">
        <v>7514.2198946886447</v>
      </c>
      <c r="K47" s="391">
        <v>7514.2198946886447</v>
      </c>
      <c r="L47" s="391">
        <v>7514.2198946886447</v>
      </c>
      <c r="M47" s="391">
        <v>7514.2198946886447</v>
      </c>
      <c r="N47" s="391">
        <v>7514.2198946886447</v>
      </c>
      <c r="O47" s="391">
        <v>7514.2198946886447</v>
      </c>
      <c r="P47" s="391">
        <v>7514.2198946886447</v>
      </c>
      <c r="Q47" s="391">
        <v>7514.2198946886447</v>
      </c>
      <c r="R47" s="400">
        <v>7514.2198946886447</v>
      </c>
      <c r="S47" s="400">
        <f>SUM(G47:R47)</f>
        <v>78899.308894230766</v>
      </c>
    </row>
    <row r="48" spans="1:19" x14ac:dyDescent="0.2">
      <c r="A48" s="205">
        <v>23</v>
      </c>
      <c r="B48" s="36"/>
      <c r="C48" s="9"/>
      <c r="D48" s="9" t="s">
        <v>129</v>
      </c>
      <c r="E48" s="18"/>
      <c r="F48" s="155" t="s">
        <v>130</v>
      </c>
      <c r="G48" s="429">
        <v>0</v>
      </c>
      <c r="H48" s="391">
        <v>0</v>
      </c>
      <c r="I48" s="391">
        <v>0</v>
      </c>
      <c r="J48" s="391">
        <v>0</v>
      </c>
      <c r="K48" s="391">
        <v>0</v>
      </c>
      <c r="L48" s="391">
        <v>0</v>
      </c>
      <c r="M48" s="391">
        <v>0</v>
      </c>
      <c r="N48" s="391">
        <v>0</v>
      </c>
      <c r="O48" s="391">
        <v>0</v>
      </c>
      <c r="P48" s="391">
        <v>0</v>
      </c>
      <c r="Q48" s="391">
        <v>0</v>
      </c>
      <c r="R48" s="400">
        <v>0</v>
      </c>
      <c r="S48" s="400">
        <f>SUM(G48:R48)</f>
        <v>0</v>
      </c>
    </row>
    <row r="49" spans="1:19" x14ac:dyDescent="0.2">
      <c r="A49" s="205">
        <v>24</v>
      </c>
      <c r="B49" s="36"/>
      <c r="C49" s="9"/>
      <c r="D49" s="9" t="s">
        <v>131</v>
      </c>
      <c r="E49" s="18"/>
      <c r="F49" s="155" t="s">
        <v>132</v>
      </c>
      <c r="G49" s="429">
        <v>0</v>
      </c>
      <c r="H49" s="391">
        <v>0</v>
      </c>
      <c r="I49" s="391">
        <v>0</v>
      </c>
      <c r="J49" s="391">
        <v>0</v>
      </c>
      <c r="K49" s="391">
        <v>0</v>
      </c>
      <c r="L49" s="391">
        <v>0</v>
      </c>
      <c r="M49" s="391">
        <v>0</v>
      </c>
      <c r="N49" s="391">
        <v>0</v>
      </c>
      <c r="O49" s="391">
        <v>0</v>
      </c>
      <c r="P49" s="391">
        <v>0</v>
      </c>
      <c r="Q49" s="391">
        <v>0</v>
      </c>
      <c r="R49" s="400">
        <v>0</v>
      </c>
      <c r="S49" s="400">
        <f>SUM(G49:R49)</f>
        <v>0</v>
      </c>
    </row>
    <row r="50" spans="1:19" x14ac:dyDescent="0.2">
      <c r="A50" s="205"/>
      <c r="B50" s="36"/>
      <c r="C50" s="9"/>
      <c r="D50" s="9" t="s">
        <v>133</v>
      </c>
      <c r="E50" s="61"/>
      <c r="F50" s="154"/>
      <c r="G50" s="414"/>
      <c r="H50" s="388"/>
      <c r="I50" s="388"/>
      <c r="J50" s="388"/>
      <c r="K50" s="388"/>
      <c r="L50" s="388"/>
      <c r="M50" s="388"/>
      <c r="N50" s="388"/>
      <c r="O50" s="388"/>
      <c r="P50" s="388"/>
      <c r="Q50" s="388"/>
      <c r="R50" s="399"/>
      <c r="S50" s="399"/>
    </row>
    <row r="51" spans="1:19" x14ac:dyDescent="0.2">
      <c r="A51" s="205">
        <v>25</v>
      </c>
      <c r="B51" s="36"/>
      <c r="C51" s="9"/>
      <c r="D51" s="9" t="s">
        <v>134</v>
      </c>
      <c r="E51" s="18"/>
      <c r="F51" s="155" t="s">
        <v>135</v>
      </c>
      <c r="G51" s="429">
        <v>31383.11266672652</v>
      </c>
      <c r="H51" s="391">
        <f>31383.1126667265*0.5</f>
        <v>15691.556333363251</v>
      </c>
      <c r="I51" s="391">
        <v>31383.11266672652</v>
      </c>
      <c r="J51" s="391">
        <v>31383.11266672652</v>
      </c>
      <c r="K51" s="391">
        <v>31383.11266672652</v>
      </c>
      <c r="L51" s="391">
        <v>31383.11266672652</v>
      </c>
      <c r="M51" s="391">
        <v>31383.11266672652</v>
      </c>
      <c r="N51" s="391">
        <v>31383.11266672652</v>
      </c>
      <c r="O51" s="391">
        <v>31383.11266672652</v>
      </c>
      <c r="P51" s="391">
        <v>31383.11266672652</v>
      </c>
      <c r="Q51" s="391">
        <v>31383.11266672652</v>
      </c>
      <c r="R51" s="400">
        <v>31383.11266672652</v>
      </c>
      <c r="S51" s="400">
        <f t="shared" ref="S51:S57" si="4">SUM(G51:R51)</f>
        <v>360905.79566735501</v>
      </c>
    </row>
    <row r="52" spans="1:19" x14ac:dyDescent="0.2">
      <c r="A52" s="205">
        <v>26</v>
      </c>
      <c r="B52" s="36"/>
      <c r="C52" s="9"/>
      <c r="D52" s="9" t="s">
        <v>136</v>
      </c>
      <c r="E52" s="18"/>
      <c r="F52" s="155" t="s">
        <v>137</v>
      </c>
      <c r="G52" s="429">
        <v>0</v>
      </c>
      <c r="H52" s="391">
        <v>0</v>
      </c>
      <c r="I52" s="391">
        <v>0</v>
      </c>
      <c r="J52" s="391">
        <v>0</v>
      </c>
      <c r="K52" s="391">
        <v>0</v>
      </c>
      <c r="L52" s="391">
        <v>0</v>
      </c>
      <c r="M52" s="391">
        <v>0</v>
      </c>
      <c r="N52" s="391">
        <v>0</v>
      </c>
      <c r="O52" s="391">
        <v>0</v>
      </c>
      <c r="P52" s="391">
        <v>0</v>
      </c>
      <c r="Q52" s="391">
        <v>0</v>
      </c>
      <c r="R52" s="400">
        <v>0</v>
      </c>
      <c r="S52" s="400">
        <f t="shared" si="4"/>
        <v>0</v>
      </c>
    </row>
    <row r="53" spans="1:19" x14ac:dyDescent="0.2">
      <c r="A53" s="205">
        <v>27</v>
      </c>
      <c r="B53" s="36"/>
      <c r="C53" s="9"/>
      <c r="D53" s="9" t="s">
        <v>138</v>
      </c>
      <c r="E53" s="18"/>
      <c r="F53" s="155" t="s">
        <v>139</v>
      </c>
      <c r="G53" s="429">
        <v>0</v>
      </c>
      <c r="H53" s="391">
        <v>0</v>
      </c>
      <c r="I53" s="391">
        <v>0</v>
      </c>
      <c r="J53" s="391">
        <v>0</v>
      </c>
      <c r="K53" s="391">
        <v>0</v>
      </c>
      <c r="L53" s="391">
        <v>0</v>
      </c>
      <c r="M53" s="391">
        <v>0</v>
      </c>
      <c r="N53" s="391">
        <v>0</v>
      </c>
      <c r="O53" s="391">
        <v>0</v>
      </c>
      <c r="P53" s="391">
        <v>0</v>
      </c>
      <c r="Q53" s="391">
        <v>0</v>
      </c>
      <c r="R53" s="400">
        <v>0</v>
      </c>
      <c r="S53" s="400">
        <f t="shared" si="4"/>
        <v>0</v>
      </c>
    </row>
    <row r="54" spans="1:19" x14ac:dyDescent="0.2">
      <c r="A54" s="205">
        <v>28</v>
      </c>
      <c r="B54" s="36"/>
      <c r="C54" s="9"/>
      <c r="D54" s="9" t="s">
        <v>140</v>
      </c>
      <c r="E54" s="18"/>
      <c r="F54" s="155" t="s">
        <v>141</v>
      </c>
      <c r="G54" s="429">
        <v>0</v>
      </c>
      <c r="H54" s="391">
        <v>0</v>
      </c>
      <c r="I54" s="391">
        <v>0</v>
      </c>
      <c r="J54" s="391">
        <v>0</v>
      </c>
      <c r="K54" s="391">
        <v>0</v>
      </c>
      <c r="L54" s="391">
        <v>0</v>
      </c>
      <c r="M54" s="391">
        <v>0</v>
      </c>
      <c r="N54" s="391">
        <v>0</v>
      </c>
      <c r="O54" s="391">
        <v>0</v>
      </c>
      <c r="P54" s="391">
        <v>0</v>
      </c>
      <c r="Q54" s="391">
        <v>0</v>
      </c>
      <c r="R54" s="400">
        <v>0</v>
      </c>
      <c r="S54" s="400">
        <f t="shared" si="4"/>
        <v>0</v>
      </c>
    </row>
    <row r="55" spans="1:19" x14ac:dyDescent="0.2">
      <c r="A55" s="205">
        <v>29</v>
      </c>
      <c r="B55" s="36"/>
      <c r="C55" s="9"/>
      <c r="D55" s="9" t="s">
        <v>142</v>
      </c>
      <c r="E55" s="18"/>
      <c r="F55" s="155" t="s">
        <v>143</v>
      </c>
      <c r="G55" s="429">
        <v>0</v>
      </c>
      <c r="H55" s="391">
        <v>0</v>
      </c>
      <c r="I55" s="391">
        <v>0</v>
      </c>
      <c r="J55" s="391">
        <v>0</v>
      </c>
      <c r="K55" s="391">
        <v>0</v>
      </c>
      <c r="L55" s="391">
        <v>0</v>
      </c>
      <c r="M55" s="391">
        <v>0</v>
      </c>
      <c r="N55" s="391">
        <v>0</v>
      </c>
      <c r="O55" s="391">
        <v>0</v>
      </c>
      <c r="P55" s="391">
        <v>0</v>
      </c>
      <c r="Q55" s="391">
        <v>0</v>
      </c>
      <c r="R55" s="400">
        <v>0</v>
      </c>
      <c r="S55" s="400">
        <f t="shared" si="4"/>
        <v>0</v>
      </c>
    </row>
    <row r="56" spans="1:19" x14ac:dyDescent="0.2">
      <c r="A56" s="205">
        <v>30</v>
      </c>
      <c r="B56" s="36"/>
      <c r="C56" s="9"/>
      <c r="D56" s="9" t="s">
        <v>144</v>
      </c>
      <c r="E56" s="18"/>
      <c r="F56" s="155" t="s">
        <v>145</v>
      </c>
      <c r="G56" s="429">
        <v>0</v>
      </c>
      <c r="H56" s="391">
        <v>0</v>
      </c>
      <c r="I56" s="391">
        <v>0</v>
      </c>
      <c r="J56" s="391">
        <v>0</v>
      </c>
      <c r="K56" s="391">
        <v>0</v>
      </c>
      <c r="L56" s="391">
        <v>0</v>
      </c>
      <c r="M56" s="391">
        <v>0</v>
      </c>
      <c r="N56" s="391">
        <v>0</v>
      </c>
      <c r="O56" s="391">
        <v>0</v>
      </c>
      <c r="P56" s="391">
        <v>0</v>
      </c>
      <c r="Q56" s="391">
        <v>0</v>
      </c>
      <c r="R56" s="400">
        <v>0</v>
      </c>
      <c r="S56" s="400">
        <f t="shared" si="4"/>
        <v>0</v>
      </c>
    </row>
    <row r="57" spans="1:19" x14ac:dyDescent="0.2">
      <c r="A57" s="205">
        <v>31</v>
      </c>
      <c r="B57" s="36"/>
      <c r="C57" s="9"/>
      <c r="D57" s="9" t="s">
        <v>146</v>
      </c>
      <c r="E57" s="18"/>
      <c r="F57" s="155" t="s">
        <v>147</v>
      </c>
      <c r="G57" s="429">
        <v>0</v>
      </c>
      <c r="H57" s="391">
        <v>0</v>
      </c>
      <c r="I57" s="391">
        <v>0</v>
      </c>
      <c r="J57" s="391">
        <v>0</v>
      </c>
      <c r="K57" s="391">
        <v>0</v>
      </c>
      <c r="L57" s="391">
        <v>0</v>
      </c>
      <c r="M57" s="391">
        <v>0</v>
      </c>
      <c r="N57" s="391">
        <v>0</v>
      </c>
      <c r="O57" s="391">
        <v>0</v>
      </c>
      <c r="P57" s="391">
        <v>0</v>
      </c>
      <c r="Q57" s="391">
        <v>0</v>
      </c>
      <c r="R57" s="400">
        <v>0</v>
      </c>
      <c r="S57" s="400">
        <f t="shared" si="4"/>
        <v>0</v>
      </c>
    </row>
    <row r="58" spans="1:19" x14ac:dyDescent="0.2">
      <c r="A58" s="205"/>
      <c r="B58" s="36"/>
      <c r="C58" s="9" t="s">
        <v>148</v>
      </c>
      <c r="D58" s="9"/>
      <c r="E58" s="73"/>
      <c r="F58" s="156"/>
      <c r="G58" s="414"/>
      <c r="H58" s="388"/>
      <c r="I58" s="388"/>
      <c r="J58" s="388"/>
      <c r="K58" s="388"/>
      <c r="L58" s="388"/>
      <c r="M58" s="388"/>
      <c r="N58" s="388"/>
      <c r="O58" s="388"/>
      <c r="P58" s="388"/>
      <c r="Q58" s="388"/>
      <c r="R58" s="399"/>
      <c r="S58" s="399"/>
    </row>
    <row r="59" spans="1:19" x14ac:dyDescent="0.2">
      <c r="A59" s="205">
        <v>32</v>
      </c>
      <c r="B59" s="36"/>
      <c r="C59" s="9"/>
      <c r="D59" s="9" t="s">
        <v>149</v>
      </c>
      <c r="E59" s="18"/>
      <c r="F59" s="155" t="s">
        <v>150</v>
      </c>
      <c r="G59" s="429">
        <v>0</v>
      </c>
      <c r="H59" s="391">
        <v>0</v>
      </c>
      <c r="I59" s="391">
        <v>0</v>
      </c>
      <c r="J59" s="391">
        <v>0</v>
      </c>
      <c r="K59" s="391">
        <v>0</v>
      </c>
      <c r="L59" s="391">
        <v>0</v>
      </c>
      <c r="M59" s="391">
        <v>0</v>
      </c>
      <c r="N59" s="391">
        <v>0</v>
      </c>
      <c r="O59" s="391">
        <v>0</v>
      </c>
      <c r="P59" s="391">
        <v>0</v>
      </c>
      <c r="Q59" s="391">
        <v>0</v>
      </c>
      <c r="R59" s="400">
        <v>0</v>
      </c>
      <c r="S59" s="400">
        <f>SUM(G59:R59)</f>
        <v>0</v>
      </c>
    </row>
    <row r="60" spans="1:19" s="94" customFormat="1" ht="14.25" customHeight="1" x14ac:dyDescent="0.2">
      <c r="A60" s="209">
        <v>33</v>
      </c>
      <c r="B60" s="91"/>
      <c r="C60" s="82" t="s">
        <v>98</v>
      </c>
      <c r="D60" s="82"/>
      <c r="E60" s="92"/>
      <c r="F60" s="157"/>
      <c r="G60" s="429">
        <v>0</v>
      </c>
      <c r="H60" s="391">
        <v>0</v>
      </c>
      <c r="I60" s="391">
        <v>0</v>
      </c>
      <c r="J60" s="391">
        <v>0</v>
      </c>
      <c r="K60" s="391">
        <v>0</v>
      </c>
      <c r="L60" s="391">
        <v>0</v>
      </c>
      <c r="M60" s="391">
        <v>0</v>
      </c>
      <c r="N60" s="391">
        <v>0</v>
      </c>
      <c r="O60" s="391">
        <v>0</v>
      </c>
      <c r="P60" s="391">
        <v>0</v>
      </c>
      <c r="Q60" s="391">
        <v>0</v>
      </c>
      <c r="R60" s="400">
        <v>0</v>
      </c>
      <c r="S60" s="400">
        <f>SUM(G60:R60)</f>
        <v>0</v>
      </c>
    </row>
    <row r="61" spans="1:19" s="94" customFormat="1" ht="14.25" customHeight="1" x14ac:dyDescent="0.2">
      <c r="A61" s="209">
        <v>34</v>
      </c>
      <c r="B61" s="91"/>
      <c r="C61" s="82"/>
      <c r="D61" s="82"/>
      <c r="E61" s="92"/>
      <c r="F61" s="157"/>
      <c r="G61" s="429">
        <v>0</v>
      </c>
      <c r="H61" s="391">
        <v>0</v>
      </c>
      <c r="I61" s="391">
        <v>0</v>
      </c>
      <c r="J61" s="391">
        <v>0</v>
      </c>
      <c r="K61" s="391">
        <v>0</v>
      </c>
      <c r="L61" s="391">
        <v>0</v>
      </c>
      <c r="M61" s="391">
        <v>0</v>
      </c>
      <c r="N61" s="391">
        <v>0</v>
      </c>
      <c r="O61" s="391">
        <v>0</v>
      </c>
      <c r="P61" s="391">
        <v>0</v>
      </c>
      <c r="Q61" s="391">
        <v>0</v>
      </c>
      <c r="R61" s="400">
        <v>0</v>
      </c>
      <c r="S61" s="400">
        <f>SUM(G61:R61)</f>
        <v>0</v>
      </c>
    </row>
    <row r="62" spans="1:19" x14ac:dyDescent="0.2">
      <c r="A62" s="207">
        <v>35</v>
      </c>
      <c r="B62" s="42"/>
      <c r="C62" s="43"/>
      <c r="D62" s="43"/>
      <c r="E62" s="22"/>
      <c r="F62" s="158"/>
      <c r="G62" s="429">
        <v>0</v>
      </c>
      <c r="H62" s="391">
        <v>0</v>
      </c>
      <c r="I62" s="391">
        <v>0</v>
      </c>
      <c r="J62" s="391">
        <v>0</v>
      </c>
      <c r="K62" s="391">
        <v>0</v>
      </c>
      <c r="L62" s="391">
        <v>0</v>
      </c>
      <c r="M62" s="391">
        <v>0</v>
      </c>
      <c r="N62" s="391">
        <v>0</v>
      </c>
      <c r="O62" s="391">
        <v>0</v>
      </c>
      <c r="P62" s="391">
        <v>0</v>
      </c>
      <c r="Q62" s="391">
        <v>0</v>
      </c>
      <c r="R62" s="400">
        <v>0</v>
      </c>
      <c r="S62" s="400">
        <f>SUM(G62:R62)</f>
        <v>0</v>
      </c>
    </row>
    <row r="63" spans="1:19" x14ac:dyDescent="0.2">
      <c r="A63" s="210">
        <v>36</v>
      </c>
      <c r="B63" s="47" t="s">
        <v>151</v>
      </c>
      <c r="C63" s="6"/>
      <c r="D63" s="6"/>
      <c r="E63" s="49"/>
      <c r="F63" s="159"/>
      <c r="G63" s="438">
        <f t="shared" ref="G63:S63" si="5">SUM(G41:G62)</f>
        <v>31383.11266672652</v>
      </c>
      <c r="H63" s="415">
        <f t="shared" si="5"/>
        <v>32534.239987924819</v>
      </c>
      <c r="I63" s="415">
        <f t="shared" si="5"/>
        <v>65068.479975849688</v>
      </c>
      <c r="J63" s="415">
        <f t="shared" si="5"/>
        <v>65068.479975849688</v>
      </c>
      <c r="K63" s="415">
        <f t="shared" si="5"/>
        <v>65068.479975849688</v>
      </c>
      <c r="L63" s="415">
        <f t="shared" si="5"/>
        <v>65068.479975849688</v>
      </c>
      <c r="M63" s="415">
        <f t="shared" si="5"/>
        <v>65068.479975849688</v>
      </c>
      <c r="N63" s="415">
        <f t="shared" si="5"/>
        <v>65068.479975849688</v>
      </c>
      <c r="O63" s="415">
        <f t="shared" si="5"/>
        <v>65068.479975849688</v>
      </c>
      <c r="P63" s="415">
        <f t="shared" si="5"/>
        <v>65068.479975849688</v>
      </c>
      <c r="Q63" s="415">
        <f t="shared" si="5"/>
        <v>65068.479975849688</v>
      </c>
      <c r="R63" s="402">
        <f t="shared" si="5"/>
        <v>65068.479975849688</v>
      </c>
      <c r="S63" s="402">
        <f t="shared" si="5"/>
        <v>714602.1524131482</v>
      </c>
    </row>
    <row r="64" spans="1:19" x14ac:dyDescent="0.2">
      <c r="A64" s="205"/>
      <c r="B64" s="36"/>
      <c r="C64" s="9"/>
      <c r="D64" s="9"/>
      <c r="E64" s="61"/>
      <c r="F64" s="154"/>
      <c r="G64" s="414"/>
      <c r="H64" s="388"/>
      <c r="I64" s="388"/>
      <c r="J64" s="388"/>
      <c r="K64" s="388"/>
      <c r="L64" s="388"/>
      <c r="M64" s="388"/>
      <c r="N64" s="388"/>
      <c r="O64" s="388"/>
      <c r="P64" s="388"/>
      <c r="Q64" s="388"/>
      <c r="R64" s="399"/>
      <c r="S64" s="399"/>
    </row>
    <row r="65" spans="1:19" s="13" customFormat="1" x14ac:dyDescent="0.2">
      <c r="A65" s="212"/>
      <c r="B65" s="25" t="s">
        <v>152</v>
      </c>
      <c r="C65" s="11"/>
      <c r="D65" s="11"/>
      <c r="E65" s="61"/>
      <c r="F65" s="154"/>
      <c r="G65" s="414"/>
      <c r="H65" s="388"/>
      <c r="I65" s="388"/>
      <c r="J65" s="388"/>
      <c r="K65" s="388"/>
      <c r="L65" s="388"/>
      <c r="M65" s="388"/>
      <c r="N65" s="388"/>
      <c r="O65" s="388"/>
      <c r="P65" s="388"/>
      <c r="Q65" s="388"/>
      <c r="R65" s="399"/>
      <c r="S65" s="399"/>
    </row>
    <row r="66" spans="1:19" s="99" customFormat="1" x14ac:dyDescent="0.2">
      <c r="A66" s="213">
        <v>37</v>
      </c>
      <c r="B66" s="95"/>
      <c r="C66" s="96"/>
      <c r="D66" s="96"/>
      <c r="E66" s="97"/>
      <c r="F66" s="160" t="s">
        <v>154</v>
      </c>
      <c r="G66" s="429">
        <v>0</v>
      </c>
      <c r="H66" s="391">
        <f>47.2627632783883*0.5</f>
        <v>23.631381639194149</v>
      </c>
      <c r="I66" s="391">
        <v>47.26276327838827</v>
      </c>
      <c r="J66" s="391">
        <v>47.26276327838827</v>
      </c>
      <c r="K66" s="391">
        <v>47.26276327838827</v>
      </c>
      <c r="L66" s="391">
        <v>47.26276327838827</v>
      </c>
      <c r="M66" s="391">
        <v>47.26276327838827</v>
      </c>
      <c r="N66" s="391">
        <v>47.26276327838827</v>
      </c>
      <c r="O66" s="391">
        <v>47.26276327838827</v>
      </c>
      <c r="P66" s="391">
        <v>47.26276327838827</v>
      </c>
      <c r="Q66" s="391">
        <v>47.26276327838827</v>
      </c>
      <c r="R66" s="400">
        <v>47.26276327838827</v>
      </c>
      <c r="S66" s="400">
        <f>SUM(G66:R66)</f>
        <v>496.25901442307679</v>
      </c>
    </row>
    <row r="67" spans="1:19" ht="15" thickBot="1" x14ac:dyDescent="0.25">
      <c r="A67" s="207">
        <v>38</v>
      </c>
      <c r="B67" s="42"/>
      <c r="C67" s="43"/>
      <c r="D67" s="43"/>
      <c r="E67" s="133"/>
      <c r="F67" s="161"/>
      <c r="G67" s="429">
        <v>0</v>
      </c>
      <c r="H67" s="391">
        <v>0</v>
      </c>
      <c r="I67" s="391">
        <v>0</v>
      </c>
      <c r="J67" s="391">
        <v>0</v>
      </c>
      <c r="K67" s="391">
        <v>0</v>
      </c>
      <c r="L67" s="391">
        <v>0</v>
      </c>
      <c r="M67" s="391">
        <v>0</v>
      </c>
      <c r="N67" s="391">
        <v>0</v>
      </c>
      <c r="O67" s="391">
        <v>0</v>
      </c>
      <c r="P67" s="391">
        <v>0</v>
      </c>
      <c r="Q67" s="391">
        <v>0</v>
      </c>
      <c r="R67" s="400">
        <v>0</v>
      </c>
      <c r="S67" s="400">
        <f>SUM(G67:R67)</f>
        <v>0</v>
      </c>
    </row>
    <row r="68" spans="1:19" ht="15" thickBot="1" x14ac:dyDescent="0.25">
      <c r="A68" s="214">
        <v>39</v>
      </c>
      <c r="B68" s="44" t="s">
        <v>155</v>
      </c>
      <c r="C68" s="7"/>
      <c r="D68" s="7"/>
      <c r="E68" s="45"/>
      <c r="F68" s="162"/>
      <c r="G68" s="430">
        <f t="shared" ref="G68:S68" si="6">G19+G31+G63+G66+G67</f>
        <v>558778.99719368247</v>
      </c>
      <c r="H68" s="416">
        <f t="shared" si="6"/>
        <v>364915.06486229389</v>
      </c>
      <c r="I68" s="416">
        <f t="shared" si="6"/>
        <v>397472.93623185792</v>
      </c>
      <c r="J68" s="416">
        <f t="shared" si="6"/>
        <v>397472.93623185792</v>
      </c>
      <c r="K68" s="440">
        <f t="shared" si="6"/>
        <v>397472.93623185792</v>
      </c>
      <c r="L68" s="440">
        <f t="shared" si="6"/>
        <v>397472.93623185792</v>
      </c>
      <c r="M68" s="440">
        <f t="shared" si="6"/>
        <v>447472.93623185792</v>
      </c>
      <c r="N68" s="440">
        <f t="shared" si="6"/>
        <v>397472.93623185792</v>
      </c>
      <c r="O68" s="440">
        <f t="shared" si="6"/>
        <v>397472.93623185792</v>
      </c>
      <c r="P68" s="440">
        <f t="shared" si="6"/>
        <v>397472.93623185792</v>
      </c>
      <c r="Q68" s="440">
        <f t="shared" si="6"/>
        <v>397472.93623185792</v>
      </c>
      <c r="R68" s="441">
        <f t="shared" si="6"/>
        <v>397472.93623185792</v>
      </c>
      <c r="S68" s="441">
        <f t="shared" si="6"/>
        <v>4948423.4243745571</v>
      </c>
    </row>
    <row r="69" spans="1:19" x14ac:dyDescent="0.2">
      <c r="A69" s="215"/>
      <c r="D69" s="174"/>
      <c r="E69" s="175"/>
      <c r="F69" s="175"/>
      <c r="G69" s="442"/>
      <c r="H69" s="442"/>
      <c r="I69" s="442"/>
      <c r="J69" s="443"/>
      <c r="K69" s="442"/>
      <c r="L69" s="442"/>
      <c r="M69" s="442"/>
      <c r="N69" s="442"/>
      <c r="O69" s="442"/>
      <c r="P69" s="442"/>
      <c r="Q69" s="442"/>
      <c r="R69" s="442"/>
      <c r="S69" s="442"/>
    </row>
    <row r="70" spans="1:19" x14ac:dyDescent="0.2">
      <c r="A70" s="215"/>
      <c r="D70" s="13"/>
      <c r="E70" s="176"/>
      <c r="F70" s="176"/>
      <c r="G70" s="443"/>
      <c r="H70" s="443"/>
      <c r="I70" s="443"/>
      <c r="J70" s="443"/>
      <c r="K70" s="443"/>
      <c r="L70" s="443"/>
      <c r="M70" s="443"/>
      <c r="N70" s="443"/>
      <c r="O70" s="443"/>
      <c r="P70" s="443"/>
      <c r="Q70" s="443"/>
      <c r="R70" s="443"/>
      <c r="S70" s="443"/>
    </row>
    <row r="71" spans="1:19" x14ac:dyDescent="0.2">
      <c r="A71" s="215"/>
      <c r="D71" s="13"/>
      <c r="E71" s="176"/>
      <c r="F71" s="176"/>
      <c r="G71" s="443"/>
      <c r="H71" s="443"/>
      <c r="I71" s="443"/>
      <c r="J71" s="443"/>
      <c r="K71" s="443"/>
      <c r="L71" s="443"/>
      <c r="M71" s="443"/>
      <c r="N71" s="443"/>
      <c r="O71" s="443"/>
      <c r="P71" s="443"/>
      <c r="Q71" s="443"/>
      <c r="R71" s="443"/>
      <c r="S71" s="443"/>
    </row>
    <row r="72" spans="1:19" s="13" customFormat="1" ht="20.25" customHeight="1" x14ac:dyDescent="0.25">
      <c r="A72" s="216"/>
      <c r="B72" s="20" t="s">
        <v>156</v>
      </c>
      <c r="E72" s="14"/>
      <c r="F72" s="163"/>
      <c r="G72" s="411"/>
      <c r="H72" s="412"/>
      <c r="I72" s="412"/>
      <c r="J72" s="412"/>
      <c r="K72" s="412"/>
      <c r="L72" s="412"/>
      <c r="M72" s="412"/>
      <c r="N72" s="412"/>
      <c r="O72" s="412"/>
      <c r="P72" s="412"/>
      <c r="Q72" s="412"/>
      <c r="R72" s="413"/>
      <c r="S72" s="413"/>
    </row>
    <row r="73" spans="1:19" x14ac:dyDescent="0.2">
      <c r="A73" s="216"/>
      <c r="E73" s="14" t="s">
        <v>157</v>
      </c>
      <c r="F73" s="163"/>
      <c r="G73" s="411"/>
      <c r="H73" s="412"/>
      <c r="I73" s="412"/>
      <c r="J73" s="412"/>
      <c r="K73" s="412"/>
      <c r="L73" s="412"/>
      <c r="M73" s="412"/>
      <c r="N73" s="412"/>
      <c r="O73" s="412"/>
      <c r="P73" s="412"/>
      <c r="Q73" s="412"/>
      <c r="R73" s="413"/>
      <c r="S73" s="413"/>
    </row>
    <row r="74" spans="1:19" s="4" customFormat="1" ht="15" x14ac:dyDescent="0.25">
      <c r="A74" s="217"/>
      <c r="B74" s="54" t="s">
        <v>158</v>
      </c>
      <c r="C74" s="55"/>
      <c r="D74" s="55"/>
      <c r="E74" s="63" t="s">
        <v>157</v>
      </c>
      <c r="F74" s="164"/>
      <c r="G74" s="141"/>
      <c r="H74" s="142"/>
      <c r="I74" s="142"/>
      <c r="J74" s="142"/>
      <c r="K74" s="142"/>
      <c r="L74" s="142"/>
      <c r="M74" s="142"/>
      <c r="N74" s="142"/>
      <c r="O74" s="142"/>
      <c r="P74" s="142"/>
      <c r="Q74" s="142"/>
      <c r="R74" s="143"/>
      <c r="S74" s="143"/>
    </row>
    <row r="75" spans="1:19" s="4" customFormat="1" ht="15" x14ac:dyDescent="0.25">
      <c r="A75" s="218"/>
      <c r="B75" s="89" t="s">
        <v>159</v>
      </c>
      <c r="C75" s="56"/>
      <c r="D75" s="56"/>
      <c r="E75" s="65"/>
      <c r="F75" s="165"/>
      <c r="G75" s="144"/>
      <c r="H75" s="145"/>
      <c r="I75" s="145"/>
      <c r="J75" s="145"/>
      <c r="K75" s="145"/>
      <c r="L75" s="145"/>
      <c r="M75" s="145"/>
      <c r="N75" s="145"/>
      <c r="O75" s="145"/>
      <c r="P75" s="145"/>
      <c r="Q75" s="145"/>
      <c r="R75" s="146"/>
      <c r="S75" s="146"/>
    </row>
    <row r="76" spans="1:19" x14ac:dyDescent="0.2">
      <c r="A76" s="219"/>
      <c r="B76" s="36"/>
      <c r="C76" s="9" t="s">
        <v>160</v>
      </c>
      <c r="D76" s="9"/>
      <c r="E76" s="61"/>
      <c r="F76" s="154"/>
      <c r="G76" s="414"/>
      <c r="H76" s="388"/>
      <c r="I76" s="388"/>
      <c r="J76" s="388"/>
      <c r="K76" s="388"/>
      <c r="L76" s="388"/>
      <c r="M76" s="388"/>
      <c r="N76" s="388"/>
      <c r="O76" s="388"/>
      <c r="P76" s="388"/>
      <c r="Q76" s="388"/>
      <c r="R76" s="399"/>
      <c r="S76" s="399"/>
    </row>
    <row r="77" spans="1:19" x14ac:dyDescent="0.2">
      <c r="A77" s="219">
        <v>40</v>
      </c>
      <c r="B77" s="36"/>
      <c r="C77" s="9"/>
      <c r="D77" s="9" t="s">
        <v>161</v>
      </c>
      <c r="E77" s="18">
        <v>112</v>
      </c>
      <c r="F77" s="155">
        <v>1100</v>
      </c>
      <c r="G77" s="429">
        <v>0</v>
      </c>
      <c r="H77" s="391">
        <f>102083.333333333*0.5</f>
        <v>51041.666666666497</v>
      </c>
      <c r="I77" s="391">
        <v>102083.33333333333</v>
      </c>
      <c r="J77" s="391">
        <v>102083.33333333333</v>
      </c>
      <c r="K77" s="391">
        <v>102083.33333333333</v>
      </c>
      <c r="L77" s="391">
        <v>102083.33333333333</v>
      </c>
      <c r="M77" s="391">
        <v>102083.33333333333</v>
      </c>
      <c r="N77" s="391">
        <v>102083.33333333333</v>
      </c>
      <c r="O77" s="391">
        <v>102083.33333333333</v>
      </c>
      <c r="P77" s="391">
        <v>102083.33333333333</v>
      </c>
      <c r="Q77" s="391">
        <v>102083.33333333333</v>
      </c>
      <c r="R77" s="400">
        <v>102083.33333333333</v>
      </c>
      <c r="S77" s="400">
        <f t="shared" ref="S77:S82" si="7">SUM(G77:R77)</f>
        <v>1071875</v>
      </c>
    </row>
    <row r="78" spans="1:19" x14ac:dyDescent="0.2">
      <c r="A78" s="219">
        <v>41</v>
      </c>
      <c r="B78" s="36"/>
      <c r="C78" s="9"/>
      <c r="D78" s="9" t="s">
        <v>163</v>
      </c>
      <c r="E78" s="18" t="s">
        <v>164</v>
      </c>
      <c r="F78" s="155" t="s">
        <v>165</v>
      </c>
      <c r="G78" s="429">
        <v>0</v>
      </c>
      <c r="H78" s="391">
        <f>10000*0.5</f>
        <v>5000</v>
      </c>
      <c r="I78" s="391">
        <v>10000</v>
      </c>
      <c r="J78" s="391">
        <v>10000</v>
      </c>
      <c r="K78" s="391">
        <v>10000</v>
      </c>
      <c r="L78" s="391">
        <v>10000</v>
      </c>
      <c r="M78" s="391">
        <v>10000</v>
      </c>
      <c r="N78" s="391">
        <v>10000</v>
      </c>
      <c r="O78" s="391">
        <v>10000</v>
      </c>
      <c r="P78" s="391">
        <v>10000</v>
      </c>
      <c r="Q78" s="391">
        <v>10000</v>
      </c>
      <c r="R78" s="400">
        <v>10000</v>
      </c>
      <c r="S78" s="400">
        <f t="shared" si="7"/>
        <v>105000</v>
      </c>
    </row>
    <row r="79" spans="1:19" x14ac:dyDescent="0.2">
      <c r="A79" s="219">
        <v>42</v>
      </c>
      <c r="B79" s="36"/>
      <c r="C79" s="9"/>
      <c r="D79" s="9" t="s">
        <v>166</v>
      </c>
      <c r="E79" s="18" t="s">
        <v>167</v>
      </c>
      <c r="F79" s="155" t="s">
        <v>165</v>
      </c>
      <c r="G79" s="429">
        <v>0</v>
      </c>
      <c r="H79" s="391">
        <v>0</v>
      </c>
      <c r="I79" s="391">
        <v>0</v>
      </c>
      <c r="J79" s="391">
        <v>0</v>
      </c>
      <c r="K79" s="391">
        <v>0</v>
      </c>
      <c r="L79" s="391">
        <v>0</v>
      </c>
      <c r="M79" s="391">
        <v>0</v>
      </c>
      <c r="N79" s="391">
        <v>0</v>
      </c>
      <c r="O79" s="391">
        <v>0</v>
      </c>
      <c r="P79" s="391">
        <v>0</v>
      </c>
      <c r="Q79" s="391">
        <v>0</v>
      </c>
      <c r="R79" s="400">
        <v>0</v>
      </c>
      <c r="S79" s="400">
        <f t="shared" si="7"/>
        <v>0</v>
      </c>
    </row>
    <row r="80" spans="1:19" x14ac:dyDescent="0.2">
      <c r="A80" s="219">
        <v>43</v>
      </c>
      <c r="B80" s="36"/>
      <c r="C80" s="9" t="s">
        <v>168</v>
      </c>
      <c r="D80" s="9"/>
      <c r="E80" s="18" t="s">
        <v>169</v>
      </c>
      <c r="F80" s="155" t="s">
        <v>165</v>
      </c>
      <c r="G80" s="429">
        <v>0</v>
      </c>
      <c r="H80" s="391">
        <v>1643.8760159111723</v>
      </c>
      <c r="I80" s="391">
        <v>1643.8760159111723</v>
      </c>
      <c r="J80" s="391">
        <v>1643.8760159111723</v>
      </c>
      <c r="K80" s="391">
        <v>1643.8760159111723</v>
      </c>
      <c r="L80" s="391">
        <v>1643.8760159111723</v>
      </c>
      <c r="M80" s="391">
        <v>1643.8760159111723</v>
      </c>
      <c r="N80" s="391">
        <v>1643.8760159111723</v>
      </c>
      <c r="O80" s="391">
        <v>1643.8760159111723</v>
      </c>
      <c r="P80" s="391">
        <v>1643.8760159111723</v>
      </c>
      <c r="Q80" s="391">
        <v>1643.8760159111723</v>
      </c>
      <c r="R80" s="400">
        <v>1643.8760159111723</v>
      </c>
      <c r="S80" s="400">
        <f t="shared" si="7"/>
        <v>18082.636175022893</v>
      </c>
    </row>
    <row r="81" spans="1:19" x14ac:dyDescent="0.2">
      <c r="A81" s="219">
        <v>44</v>
      </c>
      <c r="B81" s="36"/>
      <c r="C81" s="9" t="s">
        <v>171</v>
      </c>
      <c r="D81" s="9"/>
      <c r="E81" s="18" t="s">
        <v>172</v>
      </c>
      <c r="F81" s="155" t="s">
        <v>165</v>
      </c>
      <c r="G81" s="429">
        <v>0</v>
      </c>
      <c r="H81" s="391">
        <v>0</v>
      </c>
      <c r="I81" s="391">
        <v>0</v>
      </c>
      <c r="J81" s="391">
        <v>0</v>
      </c>
      <c r="K81" s="391">
        <v>0</v>
      </c>
      <c r="L81" s="391">
        <v>0</v>
      </c>
      <c r="M81" s="391">
        <v>0</v>
      </c>
      <c r="N81" s="391">
        <v>0</v>
      </c>
      <c r="O81" s="391">
        <v>0</v>
      </c>
      <c r="P81" s="391">
        <v>0</v>
      </c>
      <c r="Q81" s="391">
        <v>0</v>
      </c>
      <c r="R81" s="400">
        <v>0</v>
      </c>
      <c r="S81" s="400">
        <f t="shared" si="7"/>
        <v>0</v>
      </c>
    </row>
    <row r="82" spans="1:19" x14ac:dyDescent="0.2">
      <c r="A82" s="219">
        <v>45</v>
      </c>
      <c r="B82" s="36"/>
      <c r="C82" s="9" t="s">
        <v>173</v>
      </c>
      <c r="D82" s="9"/>
      <c r="E82" s="18" t="s">
        <v>174</v>
      </c>
      <c r="F82" s="155" t="s">
        <v>165</v>
      </c>
      <c r="G82" s="429">
        <v>0</v>
      </c>
      <c r="H82" s="391">
        <v>0</v>
      </c>
      <c r="I82" s="391">
        <v>0</v>
      </c>
      <c r="J82" s="391">
        <v>0</v>
      </c>
      <c r="K82" s="391">
        <v>0</v>
      </c>
      <c r="L82" s="391">
        <v>0</v>
      </c>
      <c r="M82" s="391">
        <v>0</v>
      </c>
      <c r="N82" s="391">
        <v>0</v>
      </c>
      <c r="O82" s="391">
        <v>0</v>
      </c>
      <c r="P82" s="391">
        <v>0</v>
      </c>
      <c r="Q82" s="391">
        <v>0</v>
      </c>
      <c r="R82" s="400">
        <v>0</v>
      </c>
      <c r="S82" s="400">
        <f t="shared" si="7"/>
        <v>0</v>
      </c>
    </row>
    <row r="83" spans="1:19" x14ac:dyDescent="0.2">
      <c r="A83" s="219"/>
      <c r="B83" s="36"/>
      <c r="C83" s="9" t="s">
        <v>175</v>
      </c>
      <c r="D83" s="9"/>
      <c r="E83" s="61"/>
      <c r="F83" s="154"/>
      <c r="G83" s="414"/>
      <c r="H83" s="388"/>
      <c r="I83" s="388"/>
      <c r="J83" s="388"/>
      <c r="K83" s="388"/>
      <c r="L83" s="388"/>
      <c r="M83" s="388"/>
      <c r="N83" s="388"/>
      <c r="O83" s="388"/>
      <c r="P83" s="388"/>
      <c r="Q83" s="388"/>
      <c r="R83" s="399"/>
      <c r="S83" s="399"/>
    </row>
    <row r="84" spans="1:19" x14ac:dyDescent="0.2">
      <c r="A84" s="219">
        <v>46</v>
      </c>
      <c r="B84" s="36"/>
      <c r="C84" s="9"/>
      <c r="D84" s="9" t="s">
        <v>176</v>
      </c>
      <c r="E84" s="18" t="s">
        <v>177</v>
      </c>
      <c r="F84" s="155" t="s">
        <v>165</v>
      </c>
      <c r="G84" s="429">
        <v>0</v>
      </c>
      <c r="H84" s="391">
        <v>0</v>
      </c>
      <c r="I84" s="391">
        <v>0</v>
      </c>
      <c r="J84" s="391">
        <v>0</v>
      </c>
      <c r="K84" s="391">
        <v>0</v>
      </c>
      <c r="L84" s="391">
        <v>0</v>
      </c>
      <c r="M84" s="391">
        <v>0</v>
      </c>
      <c r="N84" s="391">
        <v>0</v>
      </c>
      <c r="O84" s="391">
        <v>0</v>
      </c>
      <c r="P84" s="391">
        <v>0</v>
      </c>
      <c r="Q84" s="391">
        <v>0</v>
      </c>
      <c r="R84" s="400">
        <v>0</v>
      </c>
      <c r="S84" s="400">
        <f t="shared" ref="S84:S97" si="8">SUM(G84:R84)</f>
        <v>0</v>
      </c>
    </row>
    <row r="85" spans="1:19" s="569" customFormat="1" x14ac:dyDescent="0.2">
      <c r="A85" s="562">
        <v>47</v>
      </c>
      <c r="B85" s="563"/>
      <c r="C85" s="340"/>
      <c r="D85" s="340" t="s">
        <v>178</v>
      </c>
      <c r="E85" s="564" t="s">
        <v>179</v>
      </c>
      <c r="F85" s="565" t="s">
        <v>165</v>
      </c>
      <c r="G85" s="566">
        <v>0</v>
      </c>
      <c r="H85" s="567">
        <v>6172.4575320512822</v>
      </c>
      <c r="I85" s="567">
        <v>6172.4575320512822</v>
      </c>
      <c r="J85" s="567">
        <v>6172.4575320512822</v>
      </c>
      <c r="K85" s="567">
        <v>6172.4575320512822</v>
      </c>
      <c r="L85" s="567">
        <v>6172.4575320512822</v>
      </c>
      <c r="M85" s="567">
        <v>6172.4575320512822</v>
      </c>
      <c r="N85" s="567">
        <v>6172.4575320512822</v>
      </c>
      <c r="O85" s="567">
        <v>6172.4575320512822</v>
      </c>
      <c r="P85" s="567">
        <v>6172.4575320512822</v>
      </c>
      <c r="Q85" s="567">
        <v>6172.4575320512822</v>
      </c>
      <c r="R85" s="568">
        <v>6172.4575320512822</v>
      </c>
      <c r="S85" s="568">
        <f t="shared" si="8"/>
        <v>67897.032852564109</v>
      </c>
    </row>
    <row r="86" spans="1:19" x14ac:dyDescent="0.2">
      <c r="A86" s="219">
        <v>48</v>
      </c>
      <c r="B86" s="36"/>
      <c r="C86" s="9" t="s">
        <v>180</v>
      </c>
      <c r="D86" s="9"/>
      <c r="E86" s="18" t="s">
        <v>181</v>
      </c>
      <c r="F86" s="155" t="s">
        <v>165</v>
      </c>
      <c r="G86" s="429">
        <v>0</v>
      </c>
      <c r="H86" s="391">
        <v>0</v>
      </c>
      <c r="I86" s="391">
        <v>0</v>
      </c>
      <c r="J86" s="391">
        <v>0</v>
      </c>
      <c r="K86" s="391">
        <v>0</v>
      </c>
      <c r="L86" s="391">
        <v>0</v>
      </c>
      <c r="M86" s="391">
        <v>0</v>
      </c>
      <c r="N86" s="391">
        <v>0</v>
      </c>
      <c r="O86" s="391">
        <v>0</v>
      </c>
      <c r="P86" s="391">
        <v>0</v>
      </c>
      <c r="Q86" s="391">
        <v>0</v>
      </c>
      <c r="R86" s="400">
        <v>0</v>
      </c>
      <c r="S86" s="400">
        <f t="shared" si="8"/>
        <v>0</v>
      </c>
    </row>
    <row r="87" spans="1:19" x14ac:dyDescent="0.2">
      <c r="A87" s="219">
        <v>49</v>
      </c>
      <c r="B87" s="36"/>
      <c r="C87" s="9" t="s">
        <v>182</v>
      </c>
      <c r="D87" s="9"/>
      <c r="E87" s="18" t="s">
        <v>183</v>
      </c>
      <c r="F87" s="155" t="s">
        <v>165</v>
      </c>
      <c r="G87" s="429">
        <v>0</v>
      </c>
      <c r="H87" s="391">
        <v>0</v>
      </c>
      <c r="I87" s="391">
        <v>0</v>
      </c>
      <c r="J87" s="391">
        <v>0</v>
      </c>
      <c r="K87" s="391">
        <v>0</v>
      </c>
      <c r="L87" s="391">
        <v>0</v>
      </c>
      <c r="M87" s="391">
        <v>0</v>
      </c>
      <c r="N87" s="391">
        <v>0</v>
      </c>
      <c r="O87" s="391">
        <v>0</v>
      </c>
      <c r="P87" s="391">
        <v>0</v>
      </c>
      <c r="Q87" s="391">
        <v>0</v>
      </c>
      <c r="R87" s="400">
        <v>0</v>
      </c>
      <c r="S87" s="400">
        <f t="shared" si="8"/>
        <v>0</v>
      </c>
    </row>
    <row r="88" spans="1:19" x14ac:dyDescent="0.2">
      <c r="A88" s="219">
        <v>50</v>
      </c>
      <c r="B88" s="36"/>
      <c r="C88" s="9" t="s">
        <v>184</v>
      </c>
      <c r="D88" s="9"/>
      <c r="E88" s="18" t="s">
        <v>185</v>
      </c>
      <c r="F88" s="155" t="s">
        <v>165</v>
      </c>
      <c r="G88" s="429">
        <v>0</v>
      </c>
      <c r="H88" s="391">
        <f>8923.59*0.5</f>
        <v>4461.7950000000001</v>
      </c>
      <c r="I88" s="391">
        <v>8923.590000000002</v>
      </c>
      <c r="J88" s="391">
        <v>8923.590000000002</v>
      </c>
      <c r="K88" s="391">
        <v>8923.590000000002</v>
      </c>
      <c r="L88" s="391">
        <v>8923.590000000002</v>
      </c>
      <c r="M88" s="391">
        <v>8923.590000000002</v>
      </c>
      <c r="N88" s="391">
        <v>8923.590000000002</v>
      </c>
      <c r="O88" s="391">
        <v>8923.590000000002</v>
      </c>
      <c r="P88" s="391">
        <v>8923.590000000002</v>
      </c>
      <c r="Q88" s="391">
        <v>8923.590000000002</v>
      </c>
      <c r="R88" s="400">
        <v>8923.590000000002</v>
      </c>
      <c r="S88" s="400">
        <f t="shared" si="8"/>
        <v>93697.695000000007</v>
      </c>
    </row>
    <row r="89" spans="1:19" x14ac:dyDescent="0.2">
      <c r="A89" s="219">
        <v>51</v>
      </c>
      <c r="B89" s="36"/>
      <c r="C89" s="9" t="s">
        <v>186</v>
      </c>
      <c r="D89" s="9"/>
      <c r="E89" s="18" t="s">
        <v>187</v>
      </c>
      <c r="F89" s="155" t="s">
        <v>165</v>
      </c>
      <c r="G89" s="429">
        <v>0</v>
      </c>
      <c r="H89" s="391">
        <f>6949.16666666667*0.5</f>
        <v>3474.5833333333348</v>
      </c>
      <c r="I89" s="391">
        <v>6949.166666666667</v>
      </c>
      <c r="J89" s="391">
        <v>6949.166666666667</v>
      </c>
      <c r="K89" s="391">
        <v>6949.166666666667</v>
      </c>
      <c r="L89" s="391">
        <v>6949.166666666667</v>
      </c>
      <c r="M89" s="391">
        <v>6949.166666666667</v>
      </c>
      <c r="N89" s="391">
        <v>6949.166666666667</v>
      </c>
      <c r="O89" s="391">
        <v>6949.166666666667</v>
      </c>
      <c r="P89" s="391">
        <v>6949.166666666667</v>
      </c>
      <c r="Q89" s="391">
        <v>6949.166666666667</v>
      </c>
      <c r="R89" s="400">
        <v>6949.166666666667</v>
      </c>
      <c r="S89" s="400">
        <f t="shared" si="8"/>
        <v>72966.25</v>
      </c>
    </row>
    <row r="90" spans="1:19" x14ac:dyDescent="0.2">
      <c r="A90" s="219">
        <v>52</v>
      </c>
      <c r="B90" s="36"/>
      <c r="C90" s="9" t="s">
        <v>188</v>
      </c>
      <c r="D90" s="9"/>
      <c r="E90" s="18" t="s">
        <v>189</v>
      </c>
      <c r="F90" s="155" t="s">
        <v>165</v>
      </c>
      <c r="G90" s="429">
        <v>0</v>
      </c>
      <c r="H90" s="391">
        <f>1625.20833333333*0.5</f>
        <v>812.60416666666504</v>
      </c>
      <c r="I90" s="391">
        <v>1625.2083333333333</v>
      </c>
      <c r="J90" s="391">
        <v>1625.2083333333333</v>
      </c>
      <c r="K90" s="391">
        <v>1625.2083333333333</v>
      </c>
      <c r="L90" s="391">
        <v>1625.2083333333333</v>
      </c>
      <c r="M90" s="391">
        <v>1625.2083333333333</v>
      </c>
      <c r="N90" s="391">
        <v>1625.2083333333333</v>
      </c>
      <c r="O90" s="391">
        <v>1625.2083333333333</v>
      </c>
      <c r="P90" s="391">
        <v>1625.2083333333333</v>
      </c>
      <c r="Q90" s="391">
        <v>1625.2083333333333</v>
      </c>
      <c r="R90" s="400">
        <v>1625.2083333333333</v>
      </c>
      <c r="S90" s="400">
        <f t="shared" si="8"/>
        <v>17064.6875</v>
      </c>
    </row>
    <row r="91" spans="1:19" x14ac:dyDescent="0.2">
      <c r="A91" s="219">
        <v>53</v>
      </c>
      <c r="B91" s="36"/>
      <c r="C91" s="9" t="s">
        <v>190</v>
      </c>
      <c r="D91" s="9"/>
      <c r="E91" s="18" t="s">
        <v>191</v>
      </c>
      <c r="F91" s="155">
        <v>1100</v>
      </c>
      <c r="G91" s="429">
        <v>0</v>
      </c>
      <c r="H91" s="391">
        <f>5604.16666666667*0.5</f>
        <v>2802.0833333333348</v>
      </c>
      <c r="I91" s="391">
        <v>5604.166666666667</v>
      </c>
      <c r="J91" s="391">
        <v>5604.166666666667</v>
      </c>
      <c r="K91" s="391">
        <v>5604.166666666667</v>
      </c>
      <c r="L91" s="391">
        <v>5604.166666666667</v>
      </c>
      <c r="M91" s="391">
        <v>5604.166666666667</v>
      </c>
      <c r="N91" s="391">
        <v>5604.166666666667</v>
      </c>
      <c r="O91" s="391">
        <v>5604.166666666667</v>
      </c>
      <c r="P91" s="391">
        <v>5604.166666666667</v>
      </c>
      <c r="Q91" s="391">
        <v>5604.166666666667</v>
      </c>
      <c r="R91" s="400">
        <v>5604.166666666667</v>
      </c>
      <c r="S91" s="400">
        <f t="shared" si="8"/>
        <v>58843.749999999993</v>
      </c>
    </row>
    <row r="92" spans="1:19" x14ac:dyDescent="0.2">
      <c r="A92" s="219">
        <v>54</v>
      </c>
      <c r="B92" s="36"/>
      <c r="C92" s="9" t="s">
        <v>192</v>
      </c>
      <c r="D92" s="9"/>
      <c r="E92" s="18" t="s">
        <v>193</v>
      </c>
      <c r="F92" s="155" t="s">
        <v>165</v>
      </c>
      <c r="G92" s="429">
        <v>0</v>
      </c>
      <c r="H92" s="391">
        <v>0</v>
      </c>
      <c r="I92" s="391">
        <v>0</v>
      </c>
      <c r="J92" s="391">
        <v>0</v>
      </c>
      <c r="K92" s="391">
        <v>0</v>
      </c>
      <c r="L92" s="391">
        <v>0</v>
      </c>
      <c r="M92" s="391">
        <v>0</v>
      </c>
      <c r="N92" s="391">
        <v>0</v>
      </c>
      <c r="O92" s="391">
        <v>0</v>
      </c>
      <c r="P92" s="391">
        <v>0</v>
      </c>
      <c r="Q92" s="391">
        <v>0</v>
      </c>
      <c r="R92" s="400">
        <v>0</v>
      </c>
      <c r="S92" s="400">
        <f t="shared" si="8"/>
        <v>0</v>
      </c>
    </row>
    <row r="93" spans="1:19" x14ac:dyDescent="0.2">
      <c r="A93" s="219">
        <v>55</v>
      </c>
      <c r="B93" s="36"/>
      <c r="C93" s="9" t="s">
        <v>194</v>
      </c>
      <c r="D93" s="9"/>
      <c r="E93" s="18" t="s">
        <v>195</v>
      </c>
      <c r="F93" s="155" t="s">
        <v>165</v>
      </c>
      <c r="G93" s="429">
        <v>0</v>
      </c>
      <c r="H93" s="391">
        <v>0</v>
      </c>
      <c r="I93" s="391">
        <v>0</v>
      </c>
      <c r="J93" s="391">
        <v>0</v>
      </c>
      <c r="K93" s="391">
        <v>0</v>
      </c>
      <c r="L93" s="391">
        <v>0</v>
      </c>
      <c r="M93" s="391">
        <v>0</v>
      </c>
      <c r="N93" s="391">
        <v>0</v>
      </c>
      <c r="O93" s="391">
        <v>0</v>
      </c>
      <c r="P93" s="391">
        <v>0</v>
      </c>
      <c r="Q93" s="391">
        <v>0</v>
      </c>
      <c r="R93" s="400">
        <v>0</v>
      </c>
      <c r="S93" s="400">
        <f t="shared" si="8"/>
        <v>0</v>
      </c>
    </row>
    <row r="94" spans="1:19" x14ac:dyDescent="0.2">
      <c r="A94" s="219">
        <v>56</v>
      </c>
      <c r="B94" s="36"/>
      <c r="C94" s="85" t="s">
        <v>196</v>
      </c>
      <c r="D94" s="9"/>
      <c r="E94" s="18"/>
      <c r="F94" s="155"/>
      <c r="G94" s="429">
        <v>0</v>
      </c>
      <c r="H94" s="391">
        <v>0</v>
      </c>
      <c r="I94" s="391">
        <v>0</v>
      </c>
      <c r="J94" s="391">
        <v>0</v>
      </c>
      <c r="K94" s="391">
        <v>0</v>
      </c>
      <c r="L94" s="391">
        <v>0</v>
      </c>
      <c r="M94" s="391">
        <v>0</v>
      </c>
      <c r="N94" s="391">
        <v>0</v>
      </c>
      <c r="O94" s="391">
        <v>0</v>
      </c>
      <c r="P94" s="391">
        <v>0</v>
      </c>
      <c r="Q94" s="391">
        <v>0</v>
      </c>
      <c r="R94" s="400">
        <v>0</v>
      </c>
      <c r="S94" s="400">
        <f t="shared" si="8"/>
        <v>0</v>
      </c>
    </row>
    <row r="95" spans="1:19" x14ac:dyDescent="0.2">
      <c r="A95" s="219">
        <v>57</v>
      </c>
      <c r="B95" s="36"/>
      <c r="C95" s="85" t="s">
        <v>197</v>
      </c>
      <c r="D95" s="9"/>
      <c r="E95" s="18"/>
      <c r="F95" s="155"/>
      <c r="G95" s="429">
        <v>0</v>
      </c>
      <c r="H95" s="391">
        <f>4087.89455986722*0.5</f>
        <v>2043.9472799336099</v>
      </c>
      <c r="I95" s="391">
        <v>4087.8945598672162</v>
      </c>
      <c r="J95" s="391">
        <v>4087.8945598672162</v>
      </c>
      <c r="K95" s="391">
        <v>4087.8945598672162</v>
      </c>
      <c r="L95" s="391">
        <v>4087.8945598672162</v>
      </c>
      <c r="M95" s="391">
        <v>4087.8945598672162</v>
      </c>
      <c r="N95" s="391">
        <v>4087.8945598672162</v>
      </c>
      <c r="O95" s="391">
        <v>4087.8945598672162</v>
      </c>
      <c r="P95" s="391">
        <v>4087.8945598672162</v>
      </c>
      <c r="Q95" s="391">
        <v>4087.8945598672162</v>
      </c>
      <c r="R95" s="400">
        <v>4087.8945598672162</v>
      </c>
      <c r="S95" s="400">
        <f t="shared" si="8"/>
        <v>42922.892878605766</v>
      </c>
    </row>
    <row r="96" spans="1:19" x14ac:dyDescent="0.2">
      <c r="A96" s="219">
        <v>58</v>
      </c>
      <c r="B96" s="36"/>
      <c r="C96" s="85"/>
      <c r="D96" s="9"/>
      <c r="E96" s="18"/>
      <c r="F96" s="155"/>
      <c r="G96" s="429">
        <v>0</v>
      </c>
      <c r="H96" s="391">
        <v>0</v>
      </c>
      <c r="I96" s="391">
        <v>0</v>
      </c>
      <c r="J96" s="391">
        <v>0</v>
      </c>
      <c r="K96" s="391">
        <v>0</v>
      </c>
      <c r="L96" s="391">
        <v>0</v>
      </c>
      <c r="M96" s="391">
        <v>0</v>
      </c>
      <c r="N96" s="391">
        <v>0</v>
      </c>
      <c r="O96" s="391">
        <v>0</v>
      </c>
      <c r="P96" s="391">
        <v>0</v>
      </c>
      <c r="Q96" s="391">
        <v>0</v>
      </c>
      <c r="R96" s="400">
        <v>0</v>
      </c>
      <c r="S96" s="400">
        <f t="shared" si="8"/>
        <v>0</v>
      </c>
    </row>
    <row r="97" spans="1:19" x14ac:dyDescent="0.2">
      <c r="A97" s="219">
        <v>59</v>
      </c>
      <c r="E97" s="14"/>
      <c r="F97" s="163"/>
      <c r="G97" s="429">
        <v>0</v>
      </c>
      <c r="H97" s="391">
        <v>0</v>
      </c>
      <c r="I97" s="391">
        <v>0</v>
      </c>
      <c r="J97" s="391">
        <v>0</v>
      </c>
      <c r="K97" s="391">
        <v>0</v>
      </c>
      <c r="L97" s="391">
        <v>0</v>
      </c>
      <c r="M97" s="391">
        <v>0</v>
      </c>
      <c r="N97" s="391">
        <v>0</v>
      </c>
      <c r="O97" s="391">
        <v>0</v>
      </c>
      <c r="P97" s="391">
        <v>0</v>
      </c>
      <c r="Q97" s="391">
        <v>0</v>
      </c>
      <c r="R97" s="400">
        <v>0</v>
      </c>
      <c r="S97" s="400">
        <f t="shared" si="8"/>
        <v>0</v>
      </c>
    </row>
    <row r="98" spans="1:19" ht="15" x14ac:dyDescent="0.25">
      <c r="A98" s="220">
        <v>60</v>
      </c>
      <c r="B98" s="87" t="s">
        <v>198</v>
      </c>
      <c r="C98" s="51"/>
      <c r="D98" s="51"/>
      <c r="E98" s="49"/>
      <c r="F98" s="159"/>
      <c r="G98" s="438">
        <f t="shared" ref="G98:S98" si="9">SUM(G77:G97)</f>
        <v>0</v>
      </c>
      <c r="H98" s="415">
        <f t="shared" si="9"/>
        <v>77453.013327895882</v>
      </c>
      <c r="I98" s="415">
        <f t="shared" si="9"/>
        <v>147089.69310782966</v>
      </c>
      <c r="J98" s="415">
        <f t="shared" si="9"/>
        <v>147089.69310782966</v>
      </c>
      <c r="K98" s="415">
        <f t="shared" si="9"/>
        <v>147089.69310782966</v>
      </c>
      <c r="L98" s="415">
        <f t="shared" si="9"/>
        <v>147089.69310782966</v>
      </c>
      <c r="M98" s="415">
        <f t="shared" si="9"/>
        <v>147089.69310782966</v>
      </c>
      <c r="N98" s="415">
        <f t="shared" si="9"/>
        <v>147089.69310782966</v>
      </c>
      <c r="O98" s="415">
        <f t="shared" si="9"/>
        <v>147089.69310782966</v>
      </c>
      <c r="P98" s="415">
        <f t="shared" si="9"/>
        <v>147089.69310782966</v>
      </c>
      <c r="Q98" s="415">
        <f t="shared" si="9"/>
        <v>147089.69310782966</v>
      </c>
      <c r="R98" s="402">
        <f t="shared" si="9"/>
        <v>147089.69310782966</v>
      </c>
      <c r="S98" s="402">
        <f t="shared" si="9"/>
        <v>1548349.9444061927</v>
      </c>
    </row>
    <row r="99" spans="1:19" x14ac:dyDescent="0.2">
      <c r="A99" s="219"/>
      <c r="E99" s="14"/>
      <c r="F99" s="163"/>
      <c r="G99" s="411"/>
      <c r="H99" s="412"/>
      <c r="I99" s="412"/>
      <c r="J99" s="412"/>
      <c r="K99" s="412"/>
      <c r="L99" s="412"/>
      <c r="M99" s="412"/>
      <c r="N99" s="412"/>
      <c r="O99" s="412"/>
      <c r="P99" s="412"/>
      <c r="Q99" s="412"/>
      <c r="R99" s="413"/>
      <c r="S99" s="413"/>
    </row>
    <row r="100" spans="1:19" s="4" customFormat="1" ht="15" x14ac:dyDescent="0.25">
      <c r="A100" s="221"/>
      <c r="B100" s="90" t="s">
        <v>199</v>
      </c>
      <c r="C100" s="55"/>
      <c r="D100" s="59"/>
      <c r="E100" s="63"/>
      <c r="F100" s="164"/>
      <c r="G100" s="141"/>
      <c r="H100" s="142"/>
      <c r="I100" s="142"/>
      <c r="J100" s="142"/>
      <c r="K100" s="142"/>
      <c r="L100" s="142"/>
      <c r="M100" s="142"/>
      <c r="N100" s="142"/>
      <c r="O100" s="142"/>
      <c r="P100" s="142"/>
      <c r="Q100" s="142"/>
      <c r="R100" s="143"/>
      <c r="S100" s="143"/>
    </row>
    <row r="101" spans="1:19" s="4" customFormat="1" ht="15" x14ac:dyDescent="0.25">
      <c r="A101" s="222"/>
      <c r="B101" s="89" t="s">
        <v>200</v>
      </c>
      <c r="C101" s="56"/>
      <c r="D101" s="60"/>
      <c r="E101" s="65"/>
      <c r="F101" s="165"/>
      <c r="G101" s="144"/>
      <c r="H101" s="145"/>
      <c r="I101" s="145"/>
      <c r="J101" s="145"/>
      <c r="K101" s="145"/>
      <c r="L101" s="145"/>
      <c r="M101" s="145"/>
      <c r="N101" s="145"/>
      <c r="O101" s="145"/>
      <c r="P101" s="145"/>
      <c r="Q101" s="145"/>
      <c r="R101" s="146"/>
      <c r="S101" s="146"/>
    </row>
    <row r="102" spans="1:19" x14ac:dyDescent="0.2">
      <c r="A102" s="219"/>
      <c r="B102" s="9"/>
      <c r="C102" s="9" t="s">
        <v>160</v>
      </c>
      <c r="E102" s="61"/>
      <c r="F102" s="154"/>
      <c r="G102" s="414"/>
      <c r="H102" s="388"/>
      <c r="I102" s="388"/>
      <c r="J102" s="388"/>
      <c r="K102" s="388"/>
      <c r="L102" s="388"/>
      <c r="M102" s="388"/>
      <c r="N102" s="388"/>
      <c r="O102" s="388"/>
      <c r="P102" s="388"/>
      <c r="Q102" s="388"/>
      <c r="R102" s="399"/>
      <c r="S102" s="399"/>
    </row>
    <row r="103" spans="1:19" x14ac:dyDescent="0.2">
      <c r="A103" s="219">
        <v>61</v>
      </c>
      <c r="B103" s="36"/>
      <c r="C103" s="9"/>
      <c r="D103" s="9" t="s">
        <v>161</v>
      </c>
      <c r="E103" s="18" t="s">
        <v>201</v>
      </c>
      <c r="F103" s="155" t="s">
        <v>202</v>
      </c>
      <c r="G103" s="429">
        <v>0</v>
      </c>
      <c r="H103" s="391">
        <f>15433.3333333333*0.5</f>
        <v>7716.6666666666497</v>
      </c>
      <c r="I103" s="391">
        <v>15433.333333333334</v>
      </c>
      <c r="J103" s="391">
        <v>15433.333333333334</v>
      </c>
      <c r="K103" s="391">
        <v>15433.333333333334</v>
      </c>
      <c r="L103" s="391">
        <v>15433.333333333334</v>
      </c>
      <c r="M103" s="391">
        <v>15433.333333333334</v>
      </c>
      <c r="N103" s="391">
        <v>15433.333333333334</v>
      </c>
      <c r="O103" s="391">
        <v>15433.333333333334</v>
      </c>
      <c r="P103" s="391">
        <v>15433.333333333334</v>
      </c>
      <c r="Q103" s="391">
        <v>15433.333333333334</v>
      </c>
      <c r="R103" s="400">
        <v>15433.333333333334</v>
      </c>
      <c r="S103" s="400">
        <f t="shared" ref="S103:S109" si="10">SUM(G103:R103)</f>
        <v>162050</v>
      </c>
    </row>
    <row r="104" spans="1:19" x14ac:dyDescent="0.2">
      <c r="A104" s="219">
        <v>62</v>
      </c>
      <c r="B104" s="36"/>
      <c r="C104" s="9"/>
      <c r="D104" s="9" t="s">
        <v>203</v>
      </c>
      <c r="E104" s="18" t="s">
        <v>204</v>
      </c>
      <c r="F104" s="155" t="s">
        <v>202</v>
      </c>
      <c r="G104" s="429">
        <v>0</v>
      </c>
      <c r="H104" s="391">
        <v>0</v>
      </c>
      <c r="I104" s="391">
        <v>0</v>
      </c>
      <c r="J104" s="391">
        <v>0</v>
      </c>
      <c r="K104" s="391">
        <v>0</v>
      </c>
      <c r="L104" s="391">
        <v>0</v>
      </c>
      <c r="M104" s="391">
        <v>0</v>
      </c>
      <c r="N104" s="391">
        <v>0</v>
      </c>
      <c r="O104" s="391">
        <v>0</v>
      </c>
      <c r="P104" s="391">
        <v>0</v>
      </c>
      <c r="Q104" s="391">
        <v>0</v>
      </c>
      <c r="R104" s="400">
        <v>0</v>
      </c>
      <c r="S104" s="400">
        <f t="shared" si="10"/>
        <v>0</v>
      </c>
    </row>
    <row r="105" spans="1:19" x14ac:dyDescent="0.2">
      <c r="A105" s="219">
        <v>63</v>
      </c>
      <c r="B105" s="36"/>
      <c r="C105" s="9"/>
      <c r="D105" s="9" t="s">
        <v>163</v>
      </c>
      <c r="E105" s="18" t="s">
        <v>164</v>
      </c>
      <c r="F105" s="155" t="s">
        <v>202</v>
      </c>
      <c r="G105" s="429">
        <v>0</v>
      </c>
      <c r="H105" s="391">
        <f>11000*0.5</f>
        <v>5500</v>
      </c>
      <c r="I105" s="391">
        <v>11000</v>
      </c>
      <c r="J105" s="391">
        <v>11000</v>
      </c>
      <c r="K105" s="391">
        <v>11000</v>
      </c>
      <c r="L105" s="391">
        <v>11000</v>
      </c>
      <c r="M105" s="391">
        <v>11000</v>
      </c>
      <c r="N105" s="391">
        <v>11000</v>
      </c>
      <c r="O105" s="391">
        <v>11000</v>
      </c>
      <c r="P105" s="391">
        <v>11000</v>
      </c>
      <c r="Q105" s="391">
        <v>11000</v>
      </c>
      <c r="R105" s="400">
        <v>11000</v>
      </c>
      <c r="S105" s="400">
        <f t="shared" si="10"/>
        <v>115500</v>
      </c>
    </row>
    <row r="106" spans="1:19" x14ac:dyDescent="0.2">
      <c r="A106" s="219">
        <v>64</v>
      </c>
      <c r="B106" s="36"/>
      <c r="C106" s="9"/>
      <c r="D106" s="9" t="s">
        <v>166</v>
      </c>
      <c r="E106" s="18" t="s">
        <v>167</v>
      </c>
      <c r="F106" s="155" t="s">
        <v>202</v>
      </c>
      <c r="G106" s="429">
        <v>0</v>
      </c>
      <c r="H106" s="391">
        <v>0</v>
      </c>
      <c r="I106" s="391">
        <v>0</v>
      </c>
      <c r="J106" s="391">
        <v>0</v>
      </c>
      <c r="K106" s="391">
        <v>0</v>
      </c>
      <c r="L106" s="391">
        <v>0</v>
      </c>
      <c r="M106" s="391">
        <v>0</v>
      </c>
      <c r="N106" s="391">
        <v>0</v>
      </c>
      <c r="O106" s="391">
        <v>0</v>
      </c>
      <c r="P106" s="391">
        <v>0</v>
      </c>
      <c r="Q106" s="391">
        <v>0</v>
      </c>
      <c r="R106" s="400">
        <v>0</v>
      </c>
      <c r="S106" s="400">
        <f t="shared" si="10"/>
        <v>0</v>
      </c>
    </row>
    <row r="107" spans="1:19" x14ac:dyDescent="0.2">
      <c r="A107" s="219">
        <v>65</v>
      </c>
      <c r="B107" s="36"/>
      <c r="C107" s="9" t="s">
        <v>168</v>
      </c>
      <c r="D107" s="9"/>
      <c r="E107" s="18" t="s">
        <v>169</v>
      </c>
      <c r="F107" s="155" t="s">
        <v>202</v>
      </c>
      <c r="G107" s="429">
        <v>0</v>
      </c>
      <c r="H107" s="391">
        <v>5152.416666666667</v>
      </c>
      <c r="I107" s="391">
        <v>5152.416666666667</v>
      </c>
      <c r="J107" s="391">
        <v>5152.416666666667</v>
      </c>
      <c r="K107" s="391">
        <v>5152.416666666667</v>
      </c>
      <c r="L107" s="391">
        <v>5152.416666666667</v>
      </c>
      <c r="M107" s="391">
        <v>5152.416666666667</v>
      </c>
      <c r="N107" s="391">
        <v>5152.416666666667</v>
      </c>
      <c r="O107" s="391">
        <v>5152.416666666667</v>
      </c>
      <c r="P107" s="391">
        <v>5152.416666666667</v>
      </c>
      <c r="Q107" s="391">
        <v>5152.416666666667</v>
      </c>
      <c r="R107" s="400">
        <v>5152.416666666667</v>
      </c>
      <c r="S107" s="400">
        <f t="shared" si="10"/>
        <v>56676.583333333328</v>
      </c>
    </row>
    <row r="108" spans="1:19" x14ac:dyDescent="0.2">
      <c r="A108" s="219">
        <v>66</v>
      </c>
      <c r="B108" s="36"/>
      <c r="C108" s="9" t="s">
        <v>171</v>
      </c>
      <c r="D108" s="9"/>
      <c r="E108" s="18">
        <v>430</v>
      </c>
      <c r="F108" s="155">
        <v>1210</v>
      </c>
      <c r="G108" s="429">
        <v>0</v>
      </c>
      <c r="H108" s="391">
        <v>0</v>
      </c>
      <c r="I108" s="391">
        <v>0</v>
      </c>
      <c r="J108" s="391">
        <v>0</v>
      </c>
      <c r="K108" s="391">
        <v>0</v>
      </c>
      <c r="L108" s="391">
        <v>0</v>
      </c>
      <c r="M108" s="391">
        <v>0</v>
      </c>
      <c r="N108" s="391">
        <v>0</v>
      </c>
      <c r="O108" s="391">
        <v>0</v>
      </c>
      <c r="P108" s="391">
        <v>0</v>
      </c>
      <c r="Q108" s="391">
        <v>0</v>
      </c>
      <c r="R108" s="400">
        <v>0</v>
      </c>
      <c r="S108" s="400">
        <f t="shared" si="10"/>
        <v>0</v>
      </c>
    </row>
    <row r="109" spans="1:19" x14ac:dyDescent="0.2">
      <c r="A109" s="219">
        <v>67</v>
      </c>
      <c r="B109" s="36"/>
      <c r="C109" s="9" t="s">
        <v>173</v>
      </c>
      <c r="D109" s="9"/>
      <c r="E109" s="18" t="s">
        <v>174</v>
      </c>
      <c r="F109" s="155" t="s">
        <v>202</v>
      </c>
      <c r="G109" s="429">
        <v>0</v>
      </c>
      <c r="H109" s="391">
        <v>0</v>
      </c>
      <c r="I109" s="391">
        <v>0</v>
      </c>
      <c r="J109" s="391">
        <v>0</v>
      </c>
      <c r="K109" s="391">
        <v>0</v>
      </c>
      <c r="L109" s="391">
        <v>0</v>
      </c>
      <c r="M109" s="391">
        <v>0</v>
      </c>
      <c r="N109" s="391">
        <v>0</v>
      </c>
      <c r="O109" s="391">
        <v>0</v>
      </c>
      <c r="P109" s="391">
        <v>0</v>
      </c>
      <c r="Q109" s="391">
        <v>0</v>
      </c>
      <c r="R109" s="400">
        <v>0</v>
      </c>
      <c r="S109" s="400">
        <f t="shared" si="10"/>
        <v>0</v>
      </c>
    </row>
    <row r="110" spans="1:19" x14ac:dyDescent="0.2">
      <c r="A110" s="219"/>
      <c r="B110" s="36"/>
      <c r="C110" s="9" t="s">
        <v>206</v>
      </c>
      <c r="D110" s="9"/>
      <c r="E110" s="61"/>
      <c r="F110" s="154"/>
      <c r="G110" s="414"/>
      <c r="H110" s="388"/>
      <c r="I110" s="388"/>
      <c r="J110" s="388"/>
      <c r="K110" s="388"/>
      <c r="L110" s="388"/>
      <c r="M110" s="388"/>
      <c r="N110" s="388"/>
      <c r="O110" s="388"/>
      <c r="P110" s="388"/>
      <c r="Q110" s="388"/>
      <c r="R110" s="399"/>
      <c r="S110" s="399"/>
    </row>
    <row r="111" spans="1:19" x14ac:dyDescent="0.2">
      <c r="A111" s="219">
        <v>68</v>
      </c>
      <c r="B111" s="36"/>
      <c r="C111" s="9"/>
      <c r="D111" s="9" t="s">
        <v>207</v>
      </c>
      <c r="E111" s="18" t="s">
        <v>177</v>
      </c>
      <c r="F111" s="155" t="s">
        <v>202</v>
      </c>
      <c r="G111" s="429">
        <v>0</v>
      </c>
      <c r="H111" s="391">
        <v>0</v>
      </c>
      <c r="I111" s="391">
        <v>0</v>
      </c>
      <c r="J111" s="391">
        <v>0</v>
      </c>
      <c r="K111" s="391">
        <v>0</v>
      </c>
      <c r="L111" s="391">
        <v>0</v>
      </c>
      <c r="M111" s="391">
        <v>0</v>
      </c>
      <c r="N111" s="391">
        <v>0</v>
      </c>
      <c r="O111" s="391">
        <v>0</v>
      </c>
      <c r="P111" s="391">
        <v>0</v>
      </c>
      <c r="Q111" s="391">
        <v>0</v>
      </c>
      <c r="R111" s="400">
        <v>0</v>
      </c>
      <c r="S111" s="400">
        <f t="shared" ref="S111:S124" si="11">SUM(G111:R111)</f>
        <v>0</v>
      </c>
    </row>
    <row r="112" spans="1:19" x14ac:dyDescent="0.2">
      <c r="A112" s="219">
        <v>69</v>
      </c>
      <c r="B112" s="36"/>
      <c r="C112" s="9"/>
      <c r="D112" s="9" t="s">
        <v>178</v>
      </c>
      <c r="E112" s="18" t="s">
        <v>179</v>
      </c>
      <c r="F112" s="155" t="s">
        <v>202</v>
      </c>
      <c r="G112" s="429">
        <v>0</v>
      </c>
      <c r="H112" s="391">
        <v>0</v>
      </c>
      <c r="I112" s="391">
        <v>0</v>
      </c>
      <c r="J112" s="391">
        <v>0</v>
      </c>
      <c r="K112" s="391">
        <v>0</v>
      </c>
      <c r="L112" s="391">
        <v>0</v>
      </c>
      <c r="M112" s="391">
        <v>0</v>
      </c>
      <c r="N112" s="391">
        <v>0</v>
      </c>
      <c r="O112" s="391">
        <v>0</v>
      </c>
      <c r="P112" s="391">
        <v>0</v>
      </c>
      <c r="Q112" s="391">
        <v>0</v>
      </c>
      <c r="R112" s="400">
        <v>0</v>
      </c>
      <c r="S112" s="400">
        <f t="shared" si="11"/>
        <v>0</v>
      </c>
    </row>
    <row r="113" spans="1:19" x14ac:dyDescent="0.2">
      <c r="A113" s="219">
        <v>70</v>
      </c>
      <c r="B113" s="36"/>
      <c r="C113" s="9" t="s">
        <v>180</v>
      </c>
      <c r="D113" s="9"/>
      <c r="E113" s="18" t="s">
        <v>181</v>
      </c>
      <c r="F113" s="155" t="s">
        <v>202</v>
      </c>
      <c r="G113" s="429">
        <v>0</v>
      </c>
      <c r="H113" s="391">
        <v>0</v>
      </c>
      <c r="I113" s="391">
        <v>0</v>
      </c>
      <c r="J113" s="391">
        <v>0</v>
      </c>
      <c r="K113" s="391">
        <v>0</v>
      </c>
      <c r="L113" s="391">
        <v>0</v>
      </c>
      <c r="M113" s="391">
        <v>0</v>
      </c>
      <c r="N113" s="391">
        <v>0</v>
      </c>
      <c r="O113" s="391">
        <v>0</v>
      </c>
      <c r="P113" s="391">
        <v>0</v>
      </c>
      <c r="Q113" s="391">
        <v>0</v>
      </c>
      <c r="R113" s="400">
        <v>0</v>
      </c>
      <c r="S113" s="400">
        <f t="shared" si="11"/>
        <v>0</v>
      </c>
    </row>
    <row r="114" spans="1:19" x14ac:dyDescent="0.2">
      <c r="A114" s="219">
        <v>71</v>
      </c>
      <c r="B114" s="36"/>
      <c r="C114" s="9" t="s">
        <v>182</v>
      </c>
      <c r="D114" s="9"/>
      <c r="E114" s="18" t="s">
        <v>183</v>
      </c>
      <c r="F114" s="155" t="s">
        <v>202</v>
      </c>
      <c r="G114" s="429">
        <v>0</v>
      </c>
      <c r="H114" s="391">
        <v>0</v>
      </c>
      <c r="I114" s="391">
        <v>0</v>
      </c>
      <c r="J114" s="391">
        <v>0</v>
      </c>
      <c r="K114" s="391">
        <v>0</v>
      </c>
      <c r="L114" s="391">
        <v>0</v>
      </c>
      <c r="M114" s="391">
        <v>0</v>
      </c>
      <c r="N114" s="391">
        <v>0</v>
      </c>
      <c r="O114" s="391">
        <v>0</v>
      </c>
      <c r="P114" s="391">
        <v>0</v>
      </c>
      <c r="Q114" s="391">
        <v>0</v>
      </c>
      <c r="R114" s="400">
        <v>0</v>
      </c>
      <c r="S114" s="400">
        <f t="shared" si="11"/>
        <v>0</v>
      </c>
    </row>
    <row r="115" spans="1:19" x14ac:dyDescent="0.2">
      <c r="A115" s="219">
        <v>72</v>
      </c>
      <c r="B115" s="36"/>
      <c r="C115" s="9" t="s">
        <v>184</v>
      </c>
      <c r="D115" s="9"/>
      <c r="E115" s="18" t="s">
        <v>185</v>
      </c>
      <c r="F115" s="155" t="s">
        <v>208</v>
      </c>
      <c r="G115" s="429">
        <v>0</v>
      </c>
      <c r="H115" s="391">
        <f>2461.68*0.5</f>
        <v>1230.8399999999999</v>
      </c>
      <c r="I115" s="391">
        <v>2461.6799999999998</v>
      </c>
      <c r="J115" s="391">
        <v>2461.6799999999998</v>
      </c>
      <c r="K115" s="391">
        <v>2461.6799999999998</v>
      </c>
      <c r="L115" s="391">
        <v>2461.6799999999998</v>
      </c>
      <c r="M115" s="391">
        <v>2461.6799999999998</v>
      </c>
      <c r="N115" s="391">
        <v>2461.6799999999998</v>
      </c>
      <c r="O115" s="391">
        <v>2461.6799999999998</v>
      </c>
      <c r="P115" s="391">
        <v>2461.6799999999998</v>
      </c>
      <c r="Q115" s="391">
        <v>2461.6799999999998</v>
      </c>
      <c r="R115" s="400">
        <v>2461.6799999999998</v>
      </c>
      <c r="S115" s="400">
        <f t="shared" si="11"/>
        <v>25847.64</v>
      </c>
    </row>
    <row r="116" spans="1:19" x14ac:dyDescent="0.2">
      <c r="A116" s="219">
        <v>73</v>
      </c>
      <c r="B116" s="36"/>
      <c r="C116" s="9" t="s">
        <v>186</v>
      </c>
      <c r="D116" s="9"/>
      <c r="E116" s="18" t="s">
        <v>187</v>
      </c>
      <c r="F116" s="155" t="s">
        <v>208</v>
      </c>
      <c r="G116" s="429">
        <v>0</v>
      </c>
      <c r="H116" s="391">
        <f>1638.86666666667*0.5</f>
        <v>819.43333333333499</v>
      </c>
      <c r="I116" s="391">
        <v>1638.8666666666668</v>
      </c>
      <c r="J116" s="391">
        <v>1638.8666666666668</v>
      </c>
      <c r="K116" s="391">
        <v>1638.8666666666668</v>
      </c>
      <c r="L116" s="391">
        <v>1638.8666666666668</v>
      </c>
      <c r="M116" s="391">
        <v>1638.8666666666668</v>
      </c>
      <c r="N116" s="391">
        <v>1638.8666666666668</v>
      </c>
      <c r="O116" s="391">
        <v>1638.8666666666668</v>
      </c>
      <c r="P116" s="391">
        <v>1638.8666666666668</v>
      </c>
      <c r="Q116" s="391">
        <v>1638.8666666666668</v>
      </c>
      <c r="R116" s="400">
        <v>1638.8666666666668</v>
      </c>
      <c r="S116" s="400">
        <f t="shared" si="11"/>
        <v>17208.100000000006</v>
      </c>
    </row>
    <row r="117" spans="1:19" x14ac:dyDescent="0.2">
      <c r="A117" s="219">
        <v>74</v>
      </c>
      <c r="B117" s="36"/>
      <c r="C117" s="9" t="s">
        <v>188</v>
      </c>
      <c r="D117" s="9"/>
      <c r="E117" s="18" t="s">
        <v>189</v>
      </c>
      <c r="F117" s="155" t="s">
        <v>208</v>
      </c>
      <c r="G117" s="429">
        <v>0</v>
      </c>
      <c r="H117" s="391">
        <f>383.283333333333*0.5</f>
        <v>191.64166666666651</v>
      </c>
      <c r="I117" s="391">
        <v>383.2833333333333</v>
      </c>
      <c r="J117" s="391">
        <v>383.2833333333333</v>
      </c>
      <c r="K117" s="391">
        <v>383.2833333333333</v>
      </c>
      <c r="L117" s="391">
        <v>383.2833333333333</v>
      </c>
      <c r="M117" s="391">
        <v>383.2833333333333</v>
      </c>
      <c r="N117" s="391">
        <v>383.2833333333333</v>
      </c>
      <c r="O117" s="391">
        <v>383.2833333333333</v>
      </c>
      <c r="P117" s="391">
        <v>383.2833333333333</v>
      </c>
      <c r="Q117" s="391">
        <v>383.2833333333333</v>
      </c>
      <c r="R117" s="400">
        <v>383.2833333333333</v>
      </c>
      <c r="S117" s="400">
        <f t="shared" si="11"/>
        <v>4024.4749999999995</v>
      </c>
    </row>
    <row r="118" spans="1:19" x14ac:dyDescent="0.2">
      <c r="A118" s="219">
        <v>75</v>
      </c>
      <c r="B118" s="36"/>
      <c r="C118" s="9" t="s">
        <v>190</v>
      </c>
      <c r="D118" s="9"/>
      <c r="E118" s="18" t="s">
        <v>191</v>
      </c>
      <c r="F118" s="155">
        <v>1200</v>
      </c>
      <c r="G118" s="429">
        <v>0</v>
      </c>
      <c r="H118" s="391">
        <f>1321.66666666667*0.5</f>
        <v>660.83333333333496</v>
      </c>
      <c r="I118" s="391">
        <v>1321.6666666666667</v>
      </c>
      <c r="J118" s="391">
        <v>1321.6666666666667</v>
      </c>
      <c r="K118" s="391">
        <v>1321.6666666666667</v>
      </c>
      <c r="L118" s="391">
        <v>1321.6666666666667</v>
      </c>
      <c r="M118" s="391">
        <v>1321.6666666666667</v>
      </c>
      <c r="N118" s="391">
        <v>1321.6666666666667</v>
      </c>
      <c r="O118" s="391">
        <v>1321.6666666666667</v>
      </c>
      <c r="P118" s="391">
        <v>1321.6666666666667</v>
      </c>
      <c r="Q118" s="391">
        <v>1321.6666666666667</v>
      </c>
      <c r="R118" s="400">
        <v>1321.6666666666667</v>
      </c>
      <c r="S118" s="400">
        <f t="shared" si="11"/>
        <v>13877.5</v>
      </c>
    </row>
    <row r="119" spans="1:19" x14ac:dyDescent="0.2">
      <c r="A119" s="219">
        <v>76</v>
      </c>
      <c r="B119" s="36"/>
      <c r="C119" s="9" t="s">
        <v>192</v>
      </c>
      <c r="D119" s="9"/>
      <c r="E119" s="18" t="s">
        <v>193</v>
      </c>
      <c r="F119" s="155" t="s">
        <v>208</v>
      </c>
      <c r="G119" s="429">
        <v>0</v>
      </c>
      <c r="H119" s="391">
        <v>0</v>
      </c>
      <c r="I119" s="391">
        <v>0</v>
      </c>
      <c r="J119" s="391">
        <v>0</v>
      </c>
      <c r="K119" s="391">
        <v>0</v>
      </c>
      <c r="L119" s="391">
        <v>0</v>
      </c>
      <c r="M119" s="391">
        <v>0</v>
      </c>
      <c r="N119" s="391">
        <v>0</v>
      </c>
      <c r="O119" s="391">
        <v>0</v>
      </c>
      <c r="P119" s="391">
        <v>0</v>
      </c>
      <c r="Q119" s="391">
        <v>0</v>
      </c>
      <c r="R119" s="400">
        <v>0</v>
      </c>
      <c r="S119" s="400">
        <f t="shared" si="11"/>
        <v>0</v>
      </c>
    </row>
    <row r="120" spans="1:19" x14ac:dyDescent="0.2">
      <c r="A120" s="219">
        <v>77</v>
      </c>
      <c r="B120" s="36"/>
      <c r="C120" s="9" t="s">
        <v>194</v>
      </c>
      <c r="D120" s="9"/>
      <c r="E120" s="18" t="s">
        <v>195</v>
      </c>
      <c r="F120" s="155" t="s">
        <v>208</v>
      </c>
      <c r="G120" s="429">
        <v>0</v>
      </c>
      <c r="H120" s="391">
        <v>0</v>
      </c>
      <c r="I120" s="391">
        <v>0</v>
      </c>
      <c r="J120" s="391">
        <v>0</v>
      </c>
      <c r="K120" s="391">
        <v>0</v>
      </c>
      <c r="L120" s="391">
        <v>0</v>
      </c>
      <c r="M120" s="391">
        <v>0</v>
      </c>
      <c r="N120" s="391">
        <v>0</v>
      </c>
      <c r="O120" s="391">
        <v>0</v>
      </c>
      <c r="P120" s="391">
        <v>0</v>
      </c>
      <c r="Q120" s="391">
        <v>0</v>
      </c>
      <c r="R120" s="400">
        <v>0</v>
      </c>
      <c r="S120" s="400">
        <f t="shared" si="11"/>
        <v>0</v>
      </c>
    </row>
    <row r="121" spans="1:19" x14ac:dyDescent="0.2">
      <c r="A121" s="219">
        <v>78</v>
      </c>
      <c r="B121" s="36"/>
      <c r="C121" s="85" t="s">
        <v>196</v>
      </c>
      <c r="D121" s="9"/>
      <c r="E121" s="18"/>
      <c r="F121" s="155"/>
      <c r="G121" s="429">
        <v>0</v>
      </c>
      <c r="H121" s="391">
        <v>0</v>
      </c>
      <c r="I121" s="391">
        <v>0</v>
      </c>
      <c r="J121" s="391">
        <v>0</v>
      </c>
      <c r="K121" s="391">
        <v>0</v>
      </c>
      <c r="L121" s="391">
        <v>0</v>
      </c>
      <c r="M121" s="391">
        <v>0</v>
      </c>
      <c r="N121" s="391">
        <v>0</v>
      </c>
      <c r="O121" s="391">
        <v>0</v>
      </c>
      <c r="P121" s="391">
        <v>0</v>
      </c>
      <c r="Q121" s="391">
        <v>0</v>
      </c>
      <c r="R121" s="400">
        <v>0</v>
      </c>
      <c r="S121" s="400">
        <f t="shared" si="11"/>
        <v>0</v>
      </c>
    </row>
    <row r="122" spans="1:19" x14ac:dyDescent="0.2">
      <c r="A122" s="219">
        <v>79</v>
      </c>
      <c r="B122" s="36"/>
      <c r="C122" s="85"/>
      <c r="D122" s="9"/>
      <c r="E122" s="18"/>
      <c r="F122" s="155"/>
      <c r="G122" s="429">
        <v>0</v>
      </c>
      <c r="H122" s="391">
        <v>0</v>
      </c>
      <c r="I122" s="391">
        <v>0</v>
      </c>
      <c r="J122" s="391">
        <v>0</v>
      </c>
      <c r="K122" s="391">
        <v>0</v>
      </c>
      <c r="L122" s="391">
        <v>0</v>
      </c>
      <c r="M122" s="391">
        <v>0</v>
      </c>
      <c r="N122" s="391">
        <v>0</v>
      </c>
      <c r="O122" s="391">
        <v>0</v>
      </c>
      <c r="P122" s="391">
        <v>0</v>
      </c>
      <c r="Q122" s="391">
        <v>0</v>
      </c>
      <c r="R122" s="400">
        <v>0</v>
      </c>
      <c r="S122" s="400">
        <f t="shared" si="11"/>
        <v>0</v>
      </c>
    </row>
    <row r="123" spans="1:19" x14ac:dyDescent="0.2">
      <c r="A123" s="219">
        <v>80</v>
      </c>
      <c r="B123" s="36"/>
      <c r="C123" s="85"/>
      <c r="D123" s="9"/>
      <c r="E123" s="18"/>
      <c r="F123" s="155"/>
      <c r="G123" s="429">
        <v>0</v>
      </c>
      <c r="H123" s="391">
        <v>0</v>
      </c>
      <c r="I123" s="391">
        <v>0</v>
      </c>
      <c r="J123" s="391">
        <v>0</v>
      </c>
      <c r="K123" s="391">
        <v>0</v>
      </c>
      <c r="L123" s="391">
        <v>0</v>
      </c>
      <c r="M123" s="391">
        <v>0</v>
      </c>
      <c r="N123" s="391">
        <v>0</v>
      </c>
      <c r="O123" s="391">
        <v>0</v>
      </c>
      <c r="P123" s="391">
        <v>0</v>
      </c>
      <c r="Q123" s="391">
        <v>0</v>
      </c>
      <c r="R123" s="400">
        <v>0</v>
      </c>
      <c r="S123" s="400">
        <f t="shared" si="11"/>
        <v>0</v>
      </c>
    </row>
    <row r="124" spans="1:19" x14ac:dyDescent="0.2">
      <c r="A124" s="219">
        <v>81</v>
      </c>
      <c r="C124" s="2"/>
      <c r="E124" s="14"/>
      <c r="F124" s="163"/>
      <c r="G124" s="429">
        <v>0</v>
      </c>
      <c r="H124" s="394">
        <v>0</v>
      </c>
      <c r="I124" s="394">
        <v>0</v>
      </c>
      <c r="J124" s="394">
        <v>0</v>
      </c>
      <c r="K124" s="394">
        <v>0</v>
      </c>
      <c r="L124" s="394">
        <v>0</v>
      </c>
      <c r="M124" s="394">
        <v>0</v>
      </c>
      <c r="N124" s="394">
        <v>0</v>
      </c>
      <c r="O124" s="394">
        <v>0</v>
      </c>
      <c r="P124" s="394">
        <v>0</v>
      </c>
      <c r="Q124" s="394">
        <v>0</v>
      </c>
      <c r="R124" s="401">
        <v>0</v>
      </c>
      <c r="S124" s="400">
        <f t="shared" si="11"/>
        <v>0</v>
      </c>
    </row>
    <row r="125" spans="1:19" ht="15" x14ac:dyDescent="0.25">
      <c r="A125" s="220">
        <v>82</v>
      </c>
      <c r="B125" s="87" t="s">
        <v>209</v>
      </c>
      <c r="C125" s="51"/>
      <c r="D125" s="51"/>
      <c r="E125" s="49"/>
      <c r="F125" s="159"/>
      <c r="G125" s="438">
        <f t="shared" ref="G125:S125" si="12">SUM(G103:G124)</f>
        <v>0</v>
      </c>
      <c r="H125" s="415">
        <f t="shared" si="12"/>
        <v>21271.831666666654</v>
      </c>
      <c r="I125" s="415">
        <f t="shared" si="12"/>
        <v>37391.246666666666</v>
      </c>
      <c r="J125" s="415">
        <f t="shared" si="12"/>
        <v>37391.246666666666</v>
      </c>
      <c r="K125" s="415">
        <f t="shared" si="12"/>
        <v>37391.246666666666</v>
      </c>
      <c r="L125" s="415">
        <f t="shared" si="12"/>
        <v>37391.246666666666</v>
      </c>
      <c r="M125" s="415">
        <f t="shared" si="12"/>
        <v>37391.246666666666</v>
      </c>
      <c r="N125" s="415">
        <f t="shared" si="12"/>
        <v>37391.246666666666</v>
      </c>
      <c r="O125" s="415">
        <f t="shared" si="12"/>
        <v>37391.246666666666</v>
      </c>
      <c r="P125" s="415">
        <f t="shared" si="12"/>
        <v>37391.246666666666</v>
      </c>
      <c r="Q125" s="415">
        <f t="shared" si="12"/>
        <v>37391.246666666666</v>
      </c>
      <c r="R125" s="402">
        <f t="shared" si="12"/>
        <v>37391.246666666666</v>
      </c>
      <c r="S125" s="402">
        <f t="shared" si="12"/>
        <v>395184.29833333334</v>
      </c>
    </row>
    <row r="126" spans="1:19" x14ac:dyDescent="0.2">
      <c r="A126" s="219"/>
      <c r="E126" s="14"/>
      <c r="F126" s="163"/>
      <c r="G126" s="411"/>
      <c r="H126" s="412"/>
      <c r="I126" s="412"/>
      <c r="J126" s="412"/>
      <c r="K126" s="412"/>
      <c r="L126" s="412"/>
      <c r="M126" s="412"/>
      <c r="N126" s="412"/>
      <c r="O126" s="412"/>
      <c r="P126" s="412"/>
      <c r="Q126" s="412"/>
      <c r="R126" s="413"/>
      <c r="S126" s="413"/>
    </row>
    <row r="127" spans="1:19" x14ac:dyDescent="0.2">
      <c r="A127" s="217"/>
      <c r="B127" s="111" t="s">
        <v>210</v>
      </c>
      <c r="C127" s="112"/>
      <c r="D127" s="113"/>
      <c r="E127" s="61"/>
      <c r="F127" s="154"/>
      <c r="G127" s="414"/>
      <c r="H127" s="388"/>
      <c r="I127" s="388"/>
      <c r="J127" s="388"/>
      <c r="K127" s="388"/>
      <c r="L127" s="388"/>
      <c r="M127" s="388"/>
      <c r="N127" s="388"/>
      <c r="O127" s="388"/>
      <c r="P127" s="388"/>
      <c r="Q127" s="388"/>
      <c r="R127" s="399"/>
      <c r="S127" s="399"/>
    </row>
    <row r="128" spans="1:19" s="4" customFormat="1" ht="14.25" customHeight="1" x14ac:dyDescent="0.25">
      <c r="A128" s="222"/>
      <c r="B128" s="89" t="s">
        <v>211</v>
      </c>
      <c r="C128" s="110"/>
      <c r="D128" s="110"/>
      <c r="E128" s="77"/>
      <c r="F128" s="166"/>
      <c r="G128" s="147"/>
      <c r="H128" s="148"/>
      <c r="I128" s="148"/>
      <c r="J128" s="148"/>
      <c r="K128" s="148"/>
      <c r="L128" s="148"/>
      <c r="M128" s="148"/>
      <c r="N128" s="148"/>
      <c r="O128" s="148"/>
      <c r="P128" s="148"/>
      <c r="Q128" s="148"/>
      <c r="R128" s="149"/>
      <c r="S128" s="149"/>
    </row>
    <row r="129" spans="1:19" s="4" customFormat="1" ht="13.5" customHeight="1" x14ac:dyDescent="0.25">
      <c r="A129" s="219"/>
      <c r="B129" s="79"/>
      <c r="C129" s="9" t="s">
        <v>160</v>
      </c>
      <c r="E129" s="61"/>
      <c r="F129" s="154"/>
      <c r="G129" s="147"/>
      <c r="H129" s="148"/>
      <c r="I129" s="148"/>
      <c r="J129" s="148"/>
      <c r="K129" s="148"/>
      <c r="L129" s="148"/>
      <c r="M129" s="148"/>
      <c r="N129" s="148"/>
      <c r="O129" s="148"/>
      <c r="P129" s="148"/>
      <c r="Q129" s="148"/>
      <c r="R129" s="149"/>
      <c r="S129" s="149"/>
    </row>
    <row r="130" spans="1:19" x14ac:dyDescent="0.2">
      <c r="A130" s="219">
        <v>83</v>
      </c>
      <c r="B130" s="36"/>
      <c r="C130" s="9"/>
      <c r="D130" s="9" t="s">
        <v>161</v>
      </c>
      <c r="E130" s="18">
        <v>112</v>
      </c>
      <c r="F130" s="155" t="s">
        <v>212</v>
      </c>
      <c r="G130" s="429">
        <v>0</v>
      </c>
      <c r="H130" s="391">
        <v>0</v>
      </c>
      <c r="I130" s="391">
        <v>0</v>
      </c>
      <c r="J130" s="391">
        <v>0</v>
      </c>
      <c r="K130" s="391">
        <v>0</v>
      </c>
      <c r="L130" s="391">
        <v>0</v>
      </c>
      <c r="M130" s="391">
        <v>0</v>
      </c>
      <c r="N130" s="391">
        <v>0</v>
      </c>
      <c r="O130" s="391">
        <v>0</v>
      </c>
      <c r="P130" s="391">
        <v>0</v>
      </c>
      <c r="Q130" s="391">
        <v>0</v>
      </c>
      <c r="R130" s="400">
        <v>0</v>
      </c>
      <c r="S130" s="400">
        <f t="shared" ref="S130:S135" si="13">SUM(G130:R130)</f>
        <v>0</v>
      </c>
    </row>
    <row r="131" spans="1:19" x14ac:dyDescent="0.2">
      <c r="A131" s="219">
        <v>84</v>
      </c>
      <c r="B131" s="36"/>
      <c r="C131" s="9"/>
      <c r="D131" s="9" t="s">
        <v>163</v>
      </c>
      <c r="E131" s="18">
        <v>115</v>
      </c>
      <c r="F131" s="155" t="s">
        <v>212</v>
      </c>
      <c r="G131" s="429">
        <v>0</v>
      </c>
      <c r="H131" s="391">
        <v>0</v>
      </c>
      <c r="I131" s="391">
        <v>0</v>
      </c>
      <c r="J131" s="391">
        <v>0</v>
      </c>
      <c r="K131" s="391">
        <v>0</v>
      </c>
      <c r="L131" s="391">
        <v>0</v>
      </c>
      <c r="M131" s="391">
        <v>0</v>
      </c>
      <c r="N131" s="391">
        <v>0</v>
      </c>
      <c r="O131" s="391">
        <v>0</v>
      </c>
      <c r="P131" s="391">
        <v>0</v>
      </c>
      <c r="Q131" s="391">
        <v>0</v>
      </c>
      <c r="R131" s="400">
        <v>0</v>
      </c>
      <c r="S131" s="400">
        <f t="shared" si="13"/>
        <v>0</v>
      </c>
    </row>
    <row r="132" spans="1:19" x14ac:dyDescent="0.2">
      <c r="A132" s="219">
        <v>85</v>
      </c>
      <c r="B132" s="36"/>
      <c r="C132" s="9"/>
      <c r="D132" s="9" t="s">
        <v>166</v>
      </c>
      <c r="E132" s="18">
        <v>123</v>
      </c>
      <c r="F132" s="155" t="s">
        <v>212</v>
      </c>
      <c r="G132" s="429">
        <v>0</v>
      </c>
      <c r="H132" s="391">
        <v>0</v>
      </c>
      <c r="I132" s="391">
        <v>0</v>
      </c>
      <c r="J132" s="391">
        <v>0</v>
      </c>
      <c r="K132" s="391">
        <v>0</v>
      </c>
      <c r="L132" s="391">
        <v>0</v>
      </c>
      <c r="M132" s="391">
        <v>0</v>
      </c>
      <c r="N132" s="391">
        <v>0</v>
      </c>
      <c r="O132" s="391">
        <v>0</v>
      </c>
      <c r="P132" s="391">
        <v>0</v>
      </c>
      <c r="Q132" s="391">
        <v>0</v>
      </c>
      <c r="R132" s="400">
        <v>0</v>
      </c>
      <c r="S132" s="400">
        <f t="shared" si="13"/>
        <v>0</v>
      </c>
    </row>
    <row r="133" spans="1:19" x14ac:dyDescent="0.2">
      <c r="A133" s="219">
        <v>86</v>
      </c>
      <c r="B133" s="36"/>
      <c r="C133" s="9" t="s">
        <v>168</v>
      </c>
      <c r="D133" s="9"/>
      <c r="E133" s="18" t="s">
        <v>169</v>
      </c>
      <c r="F133" s="155" t="s">
        <v>212</v>
      </c>
      <c r="G133" s="429">
        <v>0</v>
      </c>
      <c r="H133" s="391">
        <v>0</v>
      </c>
      <c r="I133" s="391">
        <v>0</v>
      </c>
      <c r="J133" s="391">
        <v>0</v>
      </c>
      <c r="K133" s="391">
        <v>0</v>
      </c>
      <c r="L133" s="391">
        <v>0</v>
      </c>
      <c r="M133" s="391">
        <v>0</v>
      </c>
      <c r="N133" s="391">
        <v>0</v>
      </c>
      <c r="O133" s="391">
        <v>0</v>
      </c>
      <c r="P133" s="391">
        <v>0</v>
      </c>
      <c r="Q133" s="391">
        <v>0</v>
      </c>
      <c r="R133" s="400">
        <v>0</v>
      </c>
      <c r="S133" s="400">
        <f t="shared" si="13"/>
        <v>0</v>
      </c>
    </row>
    <row r="134" spans="1:19" x14ac:dyDescent="0.2">
      <c r="A134" s="219">
        <v>87</v>
      </c>
      <c r="B134" s="36"/>
      <c r="C134" s="9" t="s">
        <v>171</v>
      </c>
      <c r="D134" s="9"/>
      <c r="E134" s="18">
        <v>430</v>
      </c>
      <c r="F134" s="155" t="s">
        <v>212</v>
      </c>
      <c r="G134" s="429">
        <v>0</v>
      </c>
      <c r="H134" s="391">
        <v>0</v>
      </c>
      <c r="I134" s="391">
        <v>0</v>
      </c>
      <c r="J134" s="391">
        <v>0</v>
      </c>
      <c r="K134" s="391">
        <v>0</v>
      </c>
      <c r="L134" s="391">
        <v>0</v>
      </c>
      <c r="M134" s="391">
        <v>0</v>
      </c>
      <c r="N134" s="391">
        <v>0</v>
      </c>
      <c r="O134" s="391">
        <v>0</v>
      </c>
      <c r="P134" s="391">
        <v>0</v>
      </c>
      <c r="Q134" s="391">
        <v>0</v>
      </c>
      <c r="R134" s="400">
        <v>0</v>
      </c>
      <c r="S134" s="400">
        <f t="shared" si="13"/>
        <v>0</v>
      </c>
    </row>
    <row r="135" spans="1:19" x14ac:dyDescent="0.2">
      <c r="A135" s="219">
        <v>88</v>
      </c>
      <c r="B135" s="36"/>
      <c r="C135" s="9" t="s">
        <v>173</v>
      </c>
      <c r="D135" s="9"/>
      <c r="E135" s="18" t="s">
        <v>174</v>
      </c>
      <c r="F135" s="155" t="s">
        <v>212</v>
      </c>
      <c r="G135" s="429">
        <v>0</v>
      </c>
      <c r="H135" s="391">
        <v>0</v>
      </c>
      <c r="I135" s="391">
        <v>0</v>
      </c>
      <c r="J135" s="391">
        <v>0</v>
      </c>
      <c r="K135" s="391">
        <v>0</v>
      </c>
      <c r="L135" s="391">
        <v>0</v>
      </c>
      <c r="M135" s="391">
        <v>0</v>
      </c>
      <c r="N135" s="391">
        <v>0</v>
      </c>
      <c r="O135" s="391">
        <v>0</v>
      </c>
      <c r="P135" s="391">
        <v>0</v>
      </c>
      <c r="Q135" s="391">
        <v>0</v>
      </c>
      <c r="R135" s="400">
        <v>0</v>
      </c>
      <c r="S135" s="400">
        <f t="shared" si="13"/>
        <v>0</v>
      </c>
    </row>
    <row r="136" spans="1:19" x14ac:dyDescent="0.2">
      <c r="A136" s="219"/>
      <c r="B136" s="36"/>
      <c r="C136" s="9" t="s">
        <v>206</v>
      </c>
      <c r="D136" s="9"/>
      <c r="E136" s="61"/>
      <c r="F136" s="154"/>
      <c r="G136" s="414"/>
      <c r="H136" s="388"/>
      <c r="I136" s="388"/>
      <c r="J136" s="388"/>
      <c r="K136" s="388"/>
      <c r="L136" s="388"/>
      <c r="M136" s="388"/>
      <c r="N136" s="388"/>
      <c r="O136" s="388"/>
      <c r="P136" s="388"/>
      <c r="Q136" s="388"/>
      <c r="R136" s="399"/>
      <c r="S136" s="399"/>
    </row>
    <row r="137" spans="1:19" x14ac:dyDescent="0.2">
      <c r="A137" s="219">
        <v>89</v>
      </c>
      <c r="B137" s="36"/>
      <c r="C137" s="9"/>
      <c r="D137" s="9" t="s">
        <v>207</v>
      </c>
      <c r="E137" s="18" t="s">
        <v>177</v>
      </c>
      <c r="F137" s="155" t="s">
        <v>212</v>
      </c>
      <c r="G137" s="429">
        <v>0</v>
      </c>
      <c r="H137" s="391">
        <v>0</v>
      </c>
      <c r="I137" s="391">
        <v>0</v>
      </c>
      <c r="J137" s="391">
        <v>0</v>
      </c>
      <c r="K137" s="391">
        <v>0</v>
      </c>
      <c r="L137" s="391">
        <v>0</v>
      </c>
      <c r="M137" s="391">
        <v>0</v>
      </c>
      <c r="N137" s="391">
        <v>0</v>
      </c>
      <c r="O137" s="391">
        <v>0</v>
      </c>
      <c r="P137" s="391">
        <v>0</v>
      </c>
      <c r="Q137" s="391">
        <v>0</v>
      </c>
      <c r="R137" s="400">
        <v>0</v>
      </c>
      <c r="S137" s="400">
        <f t="shared" ref="S137:S150" si="14">SUM(G137:R137)</f>
        <v>0</v>
      </c>
    </row>
    <row r="138" spans="1:19" x14ac:dyDescent="0.2">
      <c r="A138" s="219">
        <v>90</v>
      </c>
      <c r="B138" s="36"/>
      <c r="C138" s="9"/>
      <c r="D138" s="9" t="s">
        <v>178</v>
      </c>
      <c r="E138" s="18" t="s">
        <v>179</v>
      </c>
      <c r="F138" s="155" t="s">
        <v>212</v>
      </c>
      <c r="G138" s="429">
        <v>0</v>
      </c>
      <c r="H138" s="391">
        <v>0</v>
      </c>
      <c r="I138" s="391">
        <v>0</v>
      </c>
      <c r="J138" s="391">
        <v>0</v>
      </c>
      <c r="K138" s="391">
        <v>0</v>
      </c>
      <c r="L138" s="391">
        <v>0</v>
      </c>
      <c r="M138" s="391">
        <v>0</v>
      </c>
      <c r="N138" s="391">
        <v>0</v>
      </c>
      <c r="O138" s="391">
        <v>0</v>
      </c>
      <c r="P138" s="391">
        <v>0</v>
      </c>
      <c r="Q138" s="391">
        <v>0</v>
      </c>
      <c r="R138" s="400">
        <v>0</v>
      </c>
      <c r="S138" s="400">
        <f t="shared" si="14"/>
        <v>0</v>
      </c>
    </row>
    <row r="139" spans="1:19" x14ac:dyDescent="0.2">
      <c r="A139" s="219">
        <v>91</v>
      </c>
      <c r="B139" s="36"/>
      <c r="C139" s="9" t="s">
        <v>213</v>
      </c>
      <c r="D139" s="9"/>
      <c r="E139" s="18" t="s">
        <v>214</v>
      </c>
      <c r="F139" s="155" t="s">
        <v>212</v>
      </c>
      <c r="G139" s="429">
        <v>0</v>
      </c>
      <c r="H139" s="391">
        <v>0</v>
      </c>
      <c r="I139" s="391">
        <v>0</v>
      </c>
      <c r="J139" s="391">
        <v>0</v>
      </c>
      <c r="K139" s="391">
        <v>0</v>
      </c>
      <c r="L139" s="391">
        <v>0</v>
      </c>
      <c r="M139" s="391">
        <v>0</v>
      </c>
      <c r="N139" s="391">
        <v>0</v>
      </c>
      <c r="O139" s="391">
        <v>0</v>
      </c>
      <c r="P139" s="391">
        <v>0</v>
      </c>
      <c r="Q139" s="391">
        <v>0</v>
      </c>
      <c r="R139" s="400">
        <v>0</v>
      </c>
      <c r="S139" s="400">
        <f t="shared" si="14"/>
        <v>0</v>
      </c>
    </row>
    <row r="140" spans="1:19" x14ac:dyDescent="0.2">
      <c r="A140" s="219">
        <v>92</v>
      </c>
      <c r="B140" s="36"/>
      <c r="C140" s="9" t="s">
        <v>182</v>
      </c>
      <c r="D140" s="9"/>
      <c r="E140" s="18" t="s">
        <v>183</v>
      </c>
      <c r="F140" s="155" t="s">
        <v>212</v>
      </c>
      <c r="G140" s="429">
        <v>0</v>
      </c>
      <c r="H140" s="391">
        <v>0</v>
      </c>
      <c r="I140" s="391">
        <v>0</v>
      </c>
      <c r="J140" s="391">
        <v>0</v>
      </c>
      <c r="K140" s="391">
        <v>0</v>
      </c>
      <c r="L140" s="391">
        <v>0</v>
      </c>
      <c r="M140" s="391">
        <v>0</v>
      </c>
      <c r="N140" s="391">
        <v>0</v>
      </c>
      <c r="O140" s="391">
        <v>0</v>
      </c>
      <c r="P140" s="391">
        <v>0</v>
      </c>
      <c r="Q140" s="391">
        <v>0</v>
      </c>
      <c r="R140" s="400">
        <v>0</v>
      </c>
      <c r="S140" s="400">
        <f t="shared" si="14"/>
        <v>0</v>
      </c>
    </row>
    <row r="141" spans="1:19" x14ac:dyDescent="0.2">
      <c r="A141" s="219">
        <v>93</v>
      </c>
      <c r="B141" s="36"/>
      <c r="C141" s="9" t="s">
        <v>184</v>
      </c>
      <c r="D141" s="9"/>
      <c r="E141" s="18" t="s">
        <v>185</v>
      </c>
      <c r="F141" s="155" t="s">
        <v>212</v>
      </c>
      <c r="G141" s="429">
        <v>0</v>
      </c>
      <c r="H141" s="391">
        <v>0</v>
      </c>
      <c r="I141" s="391">
        <v>0</v>
      </c>
      <c r="J141" s="391">
        <v>0</v>
      </c>
      <c r="K141" s="391">
        <v>0</v>
      </c>
      <c r="L141" s="391">
        <v>0</v>
      </c>
      <c r="M141" s="391">
        <v>0</v>
      </c>
      <c r="N141" s="391">
        <v>0</v>
      </c>
      <c r="O141" s="391">
        <v>0</v>
      </c>
      <c r="P141" s="391">
        <v>0</v>
      </c>
      <c r="Q141" s="391">
        <v>0</v>
      </c>
      <c r="R141" s="400">
        <v>0</v>
      </c>
      <c r="S141" s="400">
        <f t="shared" si="14"/>
        <v>0</v>
      </c>
    </row>
    <row r="142" spans="1:19" x14ac:dyDescent="0.2">
      <c r="A142" s="219">
        <v>94</v>
      </c>
      <c r="B142" s="36"/>
      <c r="C142" s="9" t="s">
        <v>186</v>
      </c>
      <c r="D142" s="9"/>
      <c r="E142" s="18" t="s">
        <v>187</v>
      </c>
      <c r="F142" s="155" t="s">
        <v>212</v>
      </c>
      <c r="G142" s="429">
        <v>0</v>
      </c>
      <c r="H142" s="391">
        <v>0</v>
      </c>
      <c r="I142" s="391">
        <v>0</v>
      </c>
      <c r="J142" s="391">
        <v>0</v>
      </c>
      <c r="K142" s="391">
        <v>0</v>
      </c>
      <c r="L142" s="391">
        <v>0</v>
      </c>
      <c r="M142" s="391">
        <v>0</v>
      </c>
      <c r="N142" s="391">
        <v>0</v>
      </c>
      <c r="O142" s="391">
        <v>0</v>
      </c>
      <c r="P142" s="391">
        <v>0</v>
      </c>
      <c r="Q142" s="391">
        <v>0</v>
      </c>
      <c r="R142" s="400">
        <v>0</v>
      </c>
      <c r="S142" s="400">
        <f t="shared" si="14"/>
        <v>0</v>
      </c>
    </row>
    <row r="143" spans="1:19" x14ac:dyDescent="0.2">
      <c r="A143" s="219">
        <v>95</v>
      </c>
      <c r="B143" s="36"/>
      <c r="C143" s="9" t="s">
        <v>188</v>
      </c>
      <c r="D143" s="9"/>
      <c r="E143" s="18" t="s">
        <v>189</v>
      </c>
      <c r="F143" s="155" t="s">
        <v>212</v>
      </c>
      <c r="G143" s="429">
        <v>0</v>
      </c>
      <c r="H143" s="391">
        <v>0</v>
      </c>
      <c r="I143" s="391">
        <v>0</v>
      </c>
      <c r="J143" s="391">
        <v>0</v>
      </c>
      <c r="K143" s="391">
        <v>0</v>
      </c>
      <c r="L143" s="391">
        <v>0</v>
      </c>
      <c r="M143" s="391">
        <v>0</v>
      </c>
      <c r="N143" s="391">
        <v>0</v>
      </c>
      <c r="O143" s="391">
        <v>0</v>
      </c>
      <c r="P143" s="391">
        <v>0</v>
      </c>
      <c r="Q143" s="391">
        <v>0</v>
      </c>
      <c r="R143" s="400">
        <v>0</v>
      </c>
      <c r="S143" s="400">
        <f t="shared" si="14"/>
        <v>0</v>
      </c>
    </row>
    <row r="144" spans="1:19" x14ac:dyDescent="0.2">
      <c r="A144" s="219">
        <v>96</v>
      </c>
      <c r="B144" s="36"/>
      <c r="C144" s="9" t="s">
        <v>190</v>
      </c>
      <c r="D144" s="9"/>
      <c r="E144" s="18" t="s">
        <v>191</v>
      </c>
      <c r="F144" s="155" t="s">
        <v>212</v>
      </c>
      <c r="G144" s="429">
        <v>0</v>
      </c>
      <c r="H144" s="391">
        <v>0</v>
      </c>
      <c r="I144" s="391">
        <v>0</v>
      </c>
      <c r="J144" s="391">
        <v>0</v>
      </c>
      <c r="K144" s="391">
        <v>0</v>
      </c>
      <c r="L144" s="391">
        <v>0</v>
      </c>
      <c r="M144" s="391">
        <v>0</v>
      </c>
      <c r="N144" s="391">
        <v>0</v>
      </c>
      <c r="O144" s="391">
        <v>0</v>
      </c>
      <c r="P144" s="391">
        <v>0</v>
      </c>
      <c r="Q144" s="391">
        <v>0</v>
      </c>
      <c r="R144" s="400">
        <v>0</v>
      </c>
      <c r="S144" s="400">
        <f t="shared" si="14"/>
        <v>0</v>
      </c>
    </row>
    <row r="145" spans="1:19" x14ac:dyDescent="0.2">
      <c r="A145" s="219">
        <v>97</v>
      </c>
      <c r="B145" s="36"/>
      <c r="C145" s="9" t="s">
        <v>192</v>
      </c>
      <c r="D145" s="9"/>
      <c r="E145" s="18" t="s">
        <v>193</v>
      </c>
      <c r="F145" s="155" t="s">
        <v>212</v>
      </c>
      <c r="G145" s="429">
        <v>0</v>
      </c>
      <c r="H145" s="391">
        <v>0</v>
      </c>
      <c r="I145" s="391">
        <v>0</v>
      </c>
      <c r="J145" s="391">
        <v>0</v>
      </c>
      <c r="K145" s="391">
        <v>0</v>
      </c>
      <c r="L145" s="391">
        <v>0</v>
      </c>
      <c r="M145" s="391">
        <v>0</v>
      </c>
      <c r="N145" s="391">
        <v>0</v>
      </c>
      <c r="O145" s="391">
        <v>0</v>
      </c>
      <c r="P145" s="391">
        <v>0</v>
      </c>
      <c r="Q145" s="391">
        <v>0</v>
      </c>
      <c r="R145" s="400">
        <v>0</v>
      </c>
      <c r="S145" s="400">
        <f t="shared" si="14"/>
        <v>0</v>
      </c>
    </row>
    <row r="146" spans="1:19" x14ac:dyDescent="0.2">
      <c r="A146" s="219">
        <v>98</v>
      </c>
      <c r="B146" s="36"/>
      <c r="C146" s="9" t="s">
        <v>194</v>
      </c>
      <c r="D146" s="9"/>
      <c r="E146" s="18" t="s">
        <v>195</v>
      </c>
      <c r="F146" s="155" t="s">
        <v>212</v>
      </c>
      <c r="G146" s="429">
        <v>0</v>
      </c>
      <c r="H146" s="391">
        <v>0</v>
      </c>
      <c r="I146" s="391">
        <v>0</v>
      </c>
      <c r="J146" s="391">
        <v>0</v>
      </c>
      <c r="K146" s="391">
        <v>0</v>
      </c>
      <c r="L146" s="391">
        <v>0</v>
      </c>
      <c r="M146" s="391">
        <v>0</v>
      </c>
      <c r="N146" s="391">
        <v>0</v>
      </c>
      <c r="O146" s="391">
        <v>0</v>
      </c>
      <c r="P146" s="391">
        <v>0</v>
      </c>
      <c r="Q146" s="391">
        <v>0</v>
      </c>
      <c r="R146" s="400">
        <v>0</v>
      </c>
      <c r="S146" s="400">
        <f t="shared" si="14"/>
        <v>0</v>
      </c>
    </row>
    <row r="147" spans="1:19" x14ac:dyDescent="0.2">
      <c r="A147" s="219">
        <v>99</v>
      </c>
      <c r="B147" s="36"/>
      <c r="C147" s="85" t="s">
        <v>196</v>
      </c>
      <c r="D147" s="9"/>
      <c r="E147" s="18"/>
      <c r="F147" s="155"/>
      <c r="G147" s="429">
        <v>0</v>
      </c>
      <c r="H147" s="391">
        <v>0</v>
      </c>
      <c r="I147" s="391">
        <v>0</v>
      </c>
      <c r="J147" s="391">
        <v>0</v>
      </c>
      <c r="K147" s="391">
        <v>0</v>
      </c>
      <c r="L147" s="391">
        <v>0</v>
      </c>
      <c r="M147" s="391">
        <v>0</v>
      </c>
      <c r="N147" s="391">
        <v>0</v>
      </c>
      <c r="O147" s="391">
        <v>0</v>
      </c>
      <c r="P147" s="391">
        <v>0</v>
      </c>
      <c r="Q147" s="391">
        <v>0</v>
      </c>
      <c r="R147" s="400">
        <v>0</v>
      </c>
      <c r="S147" s="400">
        <f t="shared" si="14"/>
        <v>0</v>
      </c>
    </row>
    <row r="148" spans="1:19" x14ac:dyDescent="0.2">
      <c r="A148" s="219">
        <v>100</v>
      </c>
      <c r="B148" s="36"/>
      <c r="C148" s="85"/>
      <c r="D148" s="9"/>
      <c r="E148" s="18"/>
      <c r="F148" s="155"/>
      <c r="G148" s="429">
        <v>0</v>
      </c>
      <c r="H148" s="391">
        <v>0</v>
      </c>
      <c r="I148" s="391">
        <v>0</v>
      </c>
      <c r="J148" s="391">
        <v>0</v>
      </c>
      <c r="K148" s="391">
        <v>0</v>
      </c>
      <c r="L148" s="391">
        <v>0</v>
      </c>
      <c r="M148" s="391">
        <v>0</v>
      </c>
      <c r="N148" s="391">
        <v>0</v>
      </c>
      <c r="O148" s="391">
        <v>0</v>
      </c>
      <c r="P148" s="391">
        <v>0</v>
      </c>
      <c r="Q148" s="391">
        <v>0</v>
      </c>
      <c r="R148" s="400">
        <v>0</v>
      </c>
      <c r="S148" s="400">
        <f t="shared" si="14"/>
        <v>0</v>
      </c>
    </row>
    <row r="149" spans="1:19" x14ac:dyDescent="0.2">
      <c r="A149" s="219">
        <v>101</v>
      </c>
      <c r="B149" s="36"/>
      <c r="C149" s="85"/>
      <c r="D149" s="9"/>
      <c r="E149" s="18"/>
      <c r="F149" s="155"/>
      <c r="G149" s="429">
        <v>0</v>
      </c>
      <c r="H149" s="391">
        <v>0</v>
      </c>
      <c r="I149" s="391">
        <v>0</v>
      </c>
      <c r="J149" s="391">
        <v>0</v>
      </c>
      <c r="K149" s="391">
        <v>0</v>
      </c>
      <c r="L149" s="391">
        <v>0</v>
      </c>
      <c r="M149" s="391">
        <v>0</v>
      </c>
      <c r="N149" s="391">
        <v>0</v>
      </c>
      <c r="O149" s="391">
        <v>0</v>
      </c>
      <c r="P149" s="391">
        <v>0</v>
      </c>
      <c r="Q149" s="391">
        <v>0</v>
      </c>
      <c r="R149" s="400">
        <v>0</v>
      </c>
      <c r="S149" s="400">
        <f t="shared" si="14"/>
        <v>0</v>
      </c>
    </row>
    <row r="150" spans="1:19" ht="15.75" customHeight="1" x14ac:dyDescent="0.2">
      <c r="A150" s="219">
        <v>102</v>
      </c>
      <c r="B150" s="83"/>
      <c r="E150" s="14"/>
      <c r="F150" s="163"/>
      <c r="G150" s="429">
        <v>0</v>
      </c>
      <c r="H150" s="412">
        <v>0</v>
      </c>
      <c r="I150" s="412">
        <v>0</v>
      </c>
      <c r="J150" s="412">
        <v>0</v>
      </c>
      <c r="K150" s="412">
        <v>0</v>
      </c>
      <c r="L150" s="412">
        <v>0</v>
      </c>
      <c r="M150" s="412">
        <v>0</v>
      </c>
      <c r="N150" s="412">
        <v>0</v>
      </c>
      <c r="O150" s="412">
        <v>0</v>
      </c>
      <c r="P150" s="412">
        <v>0</v>
      </c>
      <c r="Q150" s="412">
        <v>0</v>
      </c>
      <c r="R150" s="413">
        <v>0</v>
      </c>
      <c r="S150" s="400">
        <f t="shared" si="14"/>
        <v>0</v>
      </c>
    </row>
    <row r="151" spans="1:19" ht="15.75" thickBot="1" x14ac:dyDescent="0.3">
      <c r="A151" s="220">
        <v>103</v>
      </c>
      <c r="B151" s="87" t="s">
        <v>215</v>
      </c>
      <c r="C151" s="51"/>
      <c r="D151" s="51"/>
      <c r="E151" s="49"/>
      <c r="F151" s="159"/>
      <c r="G151" s="438">
        <f t="shared" ref="G151:S151" si="15">SUM(G130:G150)</f>
        <v>0</v>
      </c>
      <c r="H151" s="415">
        <f t="shared" si="15"/>
        <v>0</v>
      </c>
      <c r="I151" s="415">
        <f t="shared" si="15"/>
        <v>0</v>
      </c>
      <c r="J151" s="415">
        <f t="shared" si="15"/>
        <v>0</v>
      </c>
      <c r="K151" s="415">
        <f t="shared" si="15"/>
        <v>0</v>
      </c>
      <c r="L151" s="415">
        <f t="shared" si="15"/>
        <v>0</v>
      </c>
      <c r="M151" s="415">
        <f t="shared" si="15"/>
        <v>0</v>
      </c>
      <c r="N151" s="415">
        <f t="shared" si="15"/>
        <v>0</v>
      </c>
      <c r="O151" s="415">
        <f t="shared" si="15"/>
        <v>0</v>
      </c>
      <c r="P151" s="415">
        <f t="shared" si="15"/>
        <v>0</v>
      </c>
      <c r="Q151" s="415">
        <f t="shared" si="15"/>
        <v>0</v>
      </c>
      <c r="R151" s="402">
        <f t="shared" si="15"/>
        <v>0</v>
      </c>
      <c r="S151" s="402">
        <f t="shared" si="15"/>
        <v>0</v>
      </c>
    </row>
    <row r="152" spans="1:19" ht="15.75" thickBot="1" x14ac:dyDescent="0.3">
      <c r="A152" s="223">
        <v>104</v>
      </c>
      <c r="B152" s="75" t="s">
        <v>216</v>
      </c>
      <c r="C152" s="76"/>
      <c r="D152" s="76"/>
      <c r="E152" s="45"/>
      <c r="F152" s="162"/>
      <c r="G152" s="430">
        <f t="shared" ref="G152:S152" si="16">G98+G125+G151</f>
        <v>0</v>
      </c>
      <c r="H152" s="416">
        <f t="shared" si="16"/>
        <v>98724.844994562533</v>
      </c>
      <c r="I152" s="416">
        <f t="shared" si="16"/>
        <v>184480.93977449634</v>
      </c>
      <c r="J152" s="416">
        <f t="shared" si="16"/>
        <v>184480.93977449634</v>
      </c>
      <c r="K152" s="416">
        <f t="shared" si="16"/>
        <v>184480.93977449634</v>
      </c>
      <c r="L152" s="416">
        <f t="shared" si="16"/>
        <v>184480.93977449634</v>
      </c>
      <c r="M152" s="416">
        <f t="shared" si="16"/>
        <v>184480.93977449634</v>
      </c>
      <c r="N152" s="416">
        <f t="shared" si="16"/>
        <v>184480.93977449634</v>
      </c>
      <c r="O152" s="416">
        <f t="shared" si="16"/>
        <v>184480.93977449634</v>
      </c>
      <c r="P152" s="416">
        <f t="shared" si="16"/>
        <v>184480.93977449634</v>
      </c>
      <c r="Q152" s="416">
        <f t="shared" si="16"/>
        <v>184480.93977449634</v>
      </c>
      <c r="R152" s="409">
        <f t="shared" si="16"/>
        <v>184480.93977449634</v>
      </c>
      <c r="S152" s="409">
        <f t="shared" si="16"/>
        <v>1943534.2427395261</v>
      </c>
    </row>
    <row r="153" spans="1:19" ht="4.5" customHeight="1" x14ac:dyDescent="0.2">
      <c r="A153" s="224"/>
      <c r="B153" s="35"/>
      <c r="C153" s="12"/>
      <c r="D153" s="12"/>
      <c r="E153" s="16"/>
      <c r="F153" s="167"/>
      <c r="G153" s="444"/>
      <c r="H153" s="417"/>
      <c r="I153" s="417"/>
      <c r="J153" s="417"/>
      <c r="K153" s="417"/>
      <c r="L153" s="417"/>
      <c r="M153" s="417"/>
      <c r="N153" s="417"/>
      <c r="O153" s="417"/>
      <c r="P153" s="417"/>
      <c r="Q153" s="417"/>
      <c r="R153" s="418"/>
      <c r="S153" s="418"/>
    </row>
    <row r="154" spans="1:19" s="4" customFormat="1" ht="15" x14ac:dyDescent="0.25">
      <c r="A154" s="219"/>
      <c r="B154" s="52" t="s">
        <v>217</v>
      </c>
      <c r="C154" s="53"/>
      <c r="D154" s="53"/>
      <c r="E154" s="61"/>
      <c r="F154" s="154"/>
      <c r="G154" s="414"/>
      <c r="H154" s="388"/>
      <c r="I154" s="388"/>
      <c r="J154" s="388"/>
      <c r="K154" s="388"/>
      <c r="L154" s="388"/>
      <c r="M154" s="388"/>
      <c r="N154" s="388"/>
      <c r="O154" s="388"/>
      <c r="P154" s="388"/>
      <c r="Q154" s="388"/>
      <c r="R154" s="399"/>
      <c r="S154" s="399"/>
    </row>
    <row r="155" spans="1:19" s="4" customFormat="1" ht="15" x14ac:dyDescent="0.25">
      <c r="A155" s="219"/>
      <c r="B155" s="88" t="s">
        <v>218</v>
      </c>
      <c r="C155" s="53"/>
      <c r="D155" s="53"/>
      <c r="E155" s="61"/>
      <c r="F155" s="154"/>
      <c r="G155" s="414"/>
      <c r="H155" s="388"/>
      <c r="I155" s="388"/>
      <c r="J155" s="388"/>
      <c r="K155" s="388"/>
      <c r="L155" s="388"/>
      <c r="M155" s="388"/>
      <c r="N155" s="388"/>
      <c r="O155" s="388"/>
      <c r="P155" s="388"/>
      <c r="Q155" s="388"/>
      <c r="R155" s="399"/>
      <c r="S155" s="399"/>
    </row>
    <row r="156" spans="1:19" x14ac:dyDescent="0.2">
      <c r="A156" s="219">
        <v>105</v>
      </c>
      <c r="B156" s="36"/>
      <c r="C156" s="9" t="s">
        <v>219</v>
      </c>
      <c r="D156" s="9"/>
      <c r="E156" s="18" t="s">
        <v>212</v>
      </c>
      <c r="F156" s="155" t="s">
        <v>220</v>
      </c>
      <c r="G156" s="429">
        <v>0</v>
      </c>
      <c r="H156" s="391">
        <f>3333.33333333333*0.5</f>
        <v>1666.6666666666649</v>
      </c>
      <c r="I156" s="391">
        <v>3333.3333333333335</v>
      </c>
      <c r="J156" s="391">
        <v>3333.3333333333335</v>
      </c>
      <c r="K156" s="391">
        <v>3333.3333333333335</v>
      </c>
      <c r="L156" s="391">
        <v>3333.3333333333335</v>
      </c>
      <c r="M156" s="391">
        <v>3333.3333333333335</v>
      </c>
      <c r="N156" s="391">
        <v>3333.3333333333335</v>
      </c>
      <c r="O156" s="391">
        <v>3333.3333333333335</v>
      </c>
      <c r="P156" s="391">
        <v>3333.3333333333335</v>
      </c>
      <c r="Q156" s="391">
        <v>3333.3333333333335</v>
      </c>
      <c r="R156" s="400">
        <v>3333.3333333333335</v>
      </c>
      <c r="S156" s="400">
        <f t="shared" ref="S156:S168" si="17">SUM(G156:R156)</f>
        <v>34999.999999999993</v>
      </c>
    </row>
    <row r="157" spans="1:19" x14ac:dyDescent="0.2">
      <c r="A157" s="219">
        <v>106</v>
      </c>
      <c r="B157" s="36"/>
      <c r="C157" s="9" t="s">
        <v>221</v>
      </c>
      <c r="D157" s="9"/>
      <c r="E157" s="18" t="s">
        <v>212</v>
      </c>
      <c r="F157" s="155" t="s">
        <v>220</v>
      </c>
      <c r="G157" s="429">
        <v>0</v>
      </c>
      <c r="H157" s="391">
        <f>4166.66666666667*0.5</f>
        <v>2083.3333333333348</v>
      </c>
      <c r="I157" s="391">
        <v>4166.666666666667</v>
      </c>
      <c r="J157" s="391">
        <v>4166.666666666667</v>
      </c>
      <c r="K157" s="391">
        <v>4166.666666666667</v>
      </c>
      <c r="L157" s="391">
        <v>4166.666666666667</v>
      </c>
      <c r="M157" s="391">
        <v>4166.666666666667</v>
      </c>
      <c r="N157" s="391">
        <v>4166.666666666667</v>
      </c>
      <c r="O157" s="391">
        <v>4166.666666666667</v>
      </c>
      <c r="P157" s="391">
        <v>4166.666666666667</v>
      </c>
      <c r="Q157" s="391">
        <v>4166.666666666667</v>
      </c>
      <c r="R157" s="400">
        <v>4166.666666666667</v>
      </c>
      <c r="S157" s="400">
        <f t="shared" si="17"/>
        <v>43750</v>
      </c>
    </row>
    <row r="158" spans="1:19" x14ac:dyDescent="0.2">
      <c r="A158" s="219">
        <v>107</v>
      </c>
      <c r="B158" s="36"/>
      <c r="C158" s="9" t="s">
        <v>222</v>
      </c>
      <c r="D158" s="9"/>
      <c r="E158" s="18" t="s">
        <v>212</v>
      </c>
      <c r="F158" s="155" t="s">
        <v>220</v>
      </c>
      <c r="G158" s="429">
        <v>0</v>
      </c>
      <c r="H158" s="391">
        <f>4166.66666666667*0.5</f>
        <v>2083.3333333333348</v>
      </c>
      <c r="I158" s="391">
        <v>4166.666666666667</v>
      </c>
      <c r="J158" s="391">
        <v>4166.666666666667</v>
      </c>
      <c r="K158" s="391">
        <v>4166.666666666667</v>
      </c>
      <c r="L158" s="391">
        <v>4166.666666666667</v>
      </c>
      <c r="M158" s="391">
        <v>4166.666666666667</v>
      </c>
      <c r="N158" s="391">
        <v>4166.666666666667</v>
      </c>
      <c r="O158" s="391">
        <v>4166.666666666667</v>
      </c>
      <c r="P158" s="391">
        <v>4166.666666666667</v>
      </c>
      <c r="Q158" s="391">
        <v>4166.666666666667</v>
      </c>
      <c r="R158" s="400">
        <v>4166.666666666667</v>
      </c>
      <c r="S158" s="400">
        <f t="shared" si="17"/>
        <v>43750</v>
      </c>
    </row>
    <row r="159" spans="1:19" x14ac:dyDescent="0.2">
      <c r="A159" s="219">
        <v>108</v>
      </c>
      <c r="B159" s="36"/>
      <c r="C159" s="9" t="s">
        <v>223</v>
      </c>
      <c r="D159" s="9"/>
      <c r="E159" s="18" t="s">
        <v>212</v>
      </c>
      <c r="F159" s="155" t="s">
        <v>220</v>
      </c>
      <c r="G159" s="429">
        <v>0</v>
      </c>
      <c r="H159" s="391">
        <v>0</v>
      </c>
      <c r="I159" s="391">
        <v>0</v>
      </c>
      <c r="J159" s="391">
        <v>0</v>
      </c>
      <c r="K159" s="391">
        <v>0</v>
      </c>
      <c r="L159" s="391">
        <v>0</v>
      </c>
      <c r="M159" s="391">
        <v>0</v>
      </c>
      <c r="N159" s="391">
        <v>0</v>
      </c>
      <c r="O159" s="391">
        <v>0</v>
      </c>
      <c r="P159" s="391">
        <v>0</v>
      </c>
      <c r="Q159" s="391">
        <v>0</v>
      </c>
      <c r="R159" s="400">
        <v>0</v>
      </c>
      <c r="S159" s="400">
        <f t="shared" si="17"/>
        <v>0</v>
      </c>
    </row>
    <row r="160" spans="1:19" x14ac:dyDescent="0.2">
      <c r="A160" s="219">
        <v>109</v>
      </c>
      <c r="B160" s="36"/>
      <c r="C160" s="9" t="s">
        <v>184</v>
      </c>
      <c r="D160" s="9"/>
      <c r="E160" s="18" t="s">
        <v>185</v>
      </c>
      <c r="F160" s="155" t="s">
        <v>220</v>
      </c>
      <c r="G160" s="429">
        <v>0</v>
      </c>
      <c r="H160" s="391">
        <f>923.13*0.5</f>
        <v>461.565</v>
      </c>
      <c r="I160" s="391">
        <v>923.13</v>
      </c>
      <c r="J160" s="391">
        <v>923.13</v>
      </c>
      <c r="K160" s="391">
        <v>923.13</v>
      </c>
      <c r="L160" s="391">
        <v>923.13</v>
      </c>
      <c r="M160" s="391">
        <v>923.13</v>
      </c>
      <c r="N160" s="391">
        <v>923.13</v>
      </c>
      <c r="O160" s="391">
        <v>923.13</v>
      </c>
      <c r="P160" s="391">
        <v>923.13</v>
      </c>
      <c r="Q160" s="391">
        <v>923.13</v>
      </c>
      <c r="R160" s="400">
        <v>923.13</v>
      </c>
      <c r="S160" s="400">
        <f t="shared" si="17"/>
        <v>9692.8649999999998</v>
      </c>
    </row>
    <row r="161" spans="1:19" x14ac:dyDescent="0.2">
      <c r="A161" s="219">
        <v>110</v>
      </c>
      <c r="B161" s="36"/>
      <c r="C161" s="9" t="s">
        <v>186</v>
      </c>
      <c r="D161" s="9"/>
      <c r="E161" s="18" t="s">
        <v>187</v>
      </c>
      <c r="F161" s="155" t="s">
        <v>220</v>
      </c>
      <c r="G161" s="429">
        <v>0</v>
      </c>
      <c r="H161" s="391">
        <f>723.333333333333*0.5</f>
        <v>361.66666666666652</v>
      </c>
      <c r="I161" s="391">
        <v>723.33333333333337</v>
      </c>
      <c r="J161" s="391">
        <v>723.33333333333337</v>
      </c>
      <c r="K161" s="391">
        <v>723.33333333333337</v>
      </c>
      <c r="L161" s="391">
        <v>723.33333333333337</v>
      </c>
      <c r="M161" s="391">
        <v>723.33333333333337</v>
      </c>
      <c r="N161" s="391">
        <v>723.33333333333337</v>
      </c>
      <c r="O161" s="391">
        <v>723.33333333333337</v>
      </c>
      <c r="P161" s="391">
        <v>723.33333333333337</v>
      </c>
      <c r="Q161" s="391">
        <v>723.33333333333337</v>
      </c>
      <c r="R161" s="400">
        <v>723.33333333333337</v>
      </c>
      <c r="S161" s="400">
        <f t="shared" si="17"/>
        <v>7594.9999999999991</v>
      </c>
    </row>
    <row r="162" spans="1:19" x14ac:dyDescent="0.2">
      <c r="A162" s="219">
        <v>111</v>
      </c>
      <c r="B162" s="36"/>
      <c r="C162" s="9" t="s">
        <v>188</v>
      </c>
      <c r="D162" s="9"/>
      <c r="E162" s="18" t="s">
        <v>189</v>
      </c>
      <c r="F162" s="155" t="s">
        <v>220</v>
      </c>
      <c r="G162" s="429">
        <v>0</v>
      </c>
      <c r="H162" s="391">
        <f>169.166666666667*0.5</f>
        <v>84.583333333333499</v>
      </c>
      <c r="I162" s="391">
        <v>169.16666666666666</v>
      </c>
      <c r="J162" s="391">
        <v>169.16666666666666</v>
      </c>
      <c r="K162" s="391">
        <v>169.16666666666666</v>
      </c>
      <c r="L162" s="391">
        <v>169.16666666666666</v>
      </c>
      <c r="M162" s="391">
        <v>169.16666666666666</v>
      </c>
      <c r="N162" s="391">
        <v>169.16666666666666</v>
      </c>
      <c r="O162" s="391">
        <v>169.16666666666666</v>
      </c>
      <c r="P162" s="391">
        <v>169.16666666666666</v>
      </c>
      <c r="Q162" s="391">
        <v>169.16666666666666</v>
      </c>
      <c r="R162" s="400">
        <v>169.16666666666666</v>
      </c>
      <c r="S162" s="400">
        <f t="shared" si="17"/>
        <v>1776.2500000000005</v>
      </c>
    </row>
    <row r="163" spans="1:19" x14ac:dyDescent="0.2">
      <c r="A163" s="219">
        <v>112</v>
      </c>
      <c r="B163" s="36"/>
      <c r="C163" s="9" t="s">
        <v>190</v>
      </c>
      <c r="D163" s="9"/>
      <c r="E163" s="18" t="s">
        <v>191</v>
      </c>
      <c r="F163" s="155" t="s">
        <v>220</v>
      </c>
      <c r="G163" s="429">
        <v>0</v>
      </c>
      <c r="H163" s="391">
        <f>583.333333333333*0.5</f>
        <v>291.66666666666652</v>
      </c>
      <c r="I163" s="391">
        <v>583.33333333333337</v>
      </c>
      <c r="J163" s="391">
        <v>583.33333333333337</v>
      </c>
      <c r="K163" s="391">
        <v>583.33333333333337</v>
      </c>
      <c r="L163" s="391">
        <v>583.33333333333337</v>
      </c>
      <c r="M163" s="391">
        <v>583.33333333333337</v>
      </c>
      <c r="N163" s="391">
        <v>583.33333333333337</v>
      </c>
      <c r="O163" s="391">
        <v>583.33333333333337</v>
      </c>
      <c r="P163" s="391">
        <v>583.33333333333337</v>
      </c>
      <c r="Q163" s="391">
        <v>583.33333333333337</v>
      </c>
      <c r="R163" s="400">
        <v>583.33333333333337</v>
      </c>
      <c r="S163" s="400">
        <f t="shared" si="17"/>
        <v>6124.9999999999991</v>
      </c>
    </row>
    <row r="164" spans="1:19" x14ac:dyDescent="0.2">
      <c r="A164" s="219">
        <v>113</v>
      </c>
      <c r="B164" s="36"/>
      <c r="C164" s="9" t="s">
        <v>192</v>
      </c>
      <c r="D164" s="9"/>
      <c r="E164" s="18" t="s">
        <v>193</v>
      </c>
      <c r="F164" s="155" t="s">
        <v>220</v>
      </c>
      <c r="G164" s="429">
        <v>0</v>
      </c>
      <c r="H164" s="391">
        <v>0</v>
      </c>
      <c r="I164" s="391">
        <v>0</v>
      </c>
      <c r="J164" s="391">
        <v>0</v>
      </c>
      <c r="K164" s="391">
        <v>0</v>
      </c>
      <c r="L164" s="391">
        <v>0</v>
      </c>
      <c r="M164" s="391">
        <v>0</v>
      </c>
      <c r="N164" s="391">
        <v>0</v>
      </c>
      <c r="O164" s="391">
        <v>0</v>
      </c>
      <c r="P164" s="391">
        <v>0</v>
      </c>
      <c r="Q164" s="391">
        <v>0</v>
      </c>
      <c r="R164" s="400">
        <v>0</v>
      </c>
      <c r="S164" s="400">
        <f t="shared" si="17"/>
        <v>0</v>
      </c>
    </row>
    <row r="165" spans="1:19" x14ac:dyDescent="0.2">
      <c r="A165" s="219">
        <v>114</v>
      </c>
      <c r="B165" s="36"/>
      <c r="C165" s="9" t="s">
        <v>194</v>
      </c>
      <c r="D165" s="9"/>
      <c r="E165" s="18" t="s">
        <v>195</v>
      </c>
      <c r="F165" s="155" t="s">
        <v>220</v>
      </c>
      <c r="G165" s="429">
        <v>0</v>
      </c>
      <c r="H165" s="391">
        <v>0</v>
      </c>
      <c r="I165" s="391">
        <v>0</v>
      </c>
      <c r="J165" s="391">
        <v>0</v>
      </c>
      <c r="K165" s="391">
        <v>0</v>
      </c>
      <c r="L165" s="391">
        <v>0</v>
      </c>
      <c r="M165" s="391">
        <v>0</v>
      </c>
      <c r="N165" s="391">
        <v>0</v>
      </c>
      <c r="O165" s="391">
        <v>0</v>
      </c>
      <c r="P165" s="391">
        <v>0</v>
      </c>
      <c r="Q165" s="391">
        <v>0</v>
      </c>
      <c r="R165" s="400">
        <v>0</v>
      </c>
      <c r="S165" s="400">
        <f t="shared" si="17"/>
        <v>0</v>
      </c>
    </row>
    <row r="166" spans="1:19" x14ac:dyDescent="0.2">
      <c r="A166" s="219">
        <v>115</v>
      </c>
      <c r="B166" s="36"/>
      <c r="C166" s="85" t="s">
        <v>196</v>
      </c>
      <c r="D166" s="9"/>
      <c r="E166" s="18"/>
      <c r="F166" s="155"/>
      <c r="G166" s="429">
        <v>0</v>
      </c>
      <c r="H166" s="391">
        <v>0</v>
      </c>
      <c r="I166" s="391">
        <v>0</v>
      </c>
      <c r="J166" s="391">
        <v>0</v>
      </c>
      <c r="K166" s="391">
        <v>0</v>
      </c>
      <c r="L166" s="391">
        <v>0</v>
      </c>
      <c r="M166" s="391">
        <v>0</v>
      </c>
      <c r="N166" s="391">
        <v>0</v>
      </c>
      <c r="O166" s="391">
        <v>0</v>
      </c>
      <c r="P166" s="391">
        <v>0</v>
      </c>
      <c r="Q166" s="391">
        <v>0</v>
      </c>
      <c r="R166" s="400">
        <v>0</v>
      </c>
      <c r="S166" s="400">
        <f t="shared" si="17"/>
        <v>0</v>
      </c>
    </row>
    <row r="167" spans="1:19" x14ac:dyDescent="0.2">
      <c r="A167" s="219">
        <v>116</v>
      </c>
      <c r="B167" s="36"/>
      <c r="C167" s="85"/>
      <c r="D167" s="9"/>
      <c r="E167" s="18"/>
      <c r="F167" s="155"/>
      <c r="G167" s="429">
        <v>0</v>
      </c>
      <c r="H167" s="391">
        <v>0</v>
      </c>
      <c r="I167" s="391">
        <v>0</v>
      </c>
      <c r="J167" s="391">
        <v>0</v>
      </c>
      <c r="K167" s="391">
        <v>0</v>
      </c>
      <c r="L167" s="391">
        <v>0</v>
      </c>
      <c r="M167" s="391">
        <v>0</v>
      </c>
      <c r="N167" s="391">
        <v>0</v>
      </c>
      <c r="O167" s="391">
        <v>0</v>
      </c>
      <c r="P167" s="391">
        <v>0</v>
      </c>
      <c r="Q167" s="391">
        <v>0</v>
      </c>
      <c r="R167" s="400">
        <v>0</v>
      </c>
      <c r="S167" s="400">
        <f t="shared" si="17"/>
        <v>0</v>
      </c>
    </row>
    <row r="168" spans="1:19" x14ac:dyDescent="0.2">
      <c r="A168" s="219">
        <v>117</v>
      </c>
      <c r="B168" s="83"/>
      <c r="C168" s="84"/>
      <c r="D168" s="13"/>
      <c r="E168" s="14"/>
      <c r="F168" s="163"/>
      <c r="G168" s="429">
        <v>0</v>
      </c>
      <c r="H168" s="412">
        <v>0</v>
      </c>
      <c r="I168" s="412">
        <v>0</v>
      </c>
      <c r="J168" s="412">
        <v>0</v>
      </c>
      <c r="K168" s="412">
        <v>0</v>
      </c>
      <c r="L168" s="412">
        <v>0</v>
      </c>
      <c r="M168" s="412">
        <v>0</v>
      </c>
      <c r="N168" s="412">
        <v>0</v>
      </c>
      <c r="O168" s="412">
        <v>0</v>
      </c>
      <c r="P168" s="412">
        <v>0</v>
      </c>
      <c r="Q168" s="412">
        <v>0</v>
      </c>
      <c r="R168" s="413">
        <v>0</v>
      </c>
      <c r="S168" s="400">
        <f t="shared" si="17"/>
        <v>0</v>
      </c>
    </row>
    <row r="169" spans="1:19" ht="15" x14ac:dyDescent="0.25">
      <c r="A169" s="220">
        <v>118</v>
      </c>
      <c r="B169" s="87" t="s">
        <v>224</v>
      </c>
      <c r="C169" s="51"/>
      <c r="D169" s="51"/>
      <c r="E169" s="49"/>
      <c r="F169" s="159"/>
      <c r="G169" s="438">
        <f t="shared" ref="G169:S169" si="18">SUM(G156:G168)</f>
        <v>0</v>
      </c>
      <c r="H169" s="415">
        <f t="shared" si="18"/>
        <v>7032.8150000000005</v>
      </c>
      <c r="I169" s="415">
        <f t="shared" si="18"/>
        <v>14065.630000000001</v>
      </c>
      <c r="J169" s="415">
        <f t="shared" si="18"/>
        <v>14065.630000000001</v>
      </c>
      <c r="K169" s="415">
        <f t="shared" si="18"/>
        <v>14065.630000000001</v>
      </c>
      <c r="L169" s="415">
        <f t="shared" si="18"/>
        <v>14065.630000000001</v>
      </c>
      <c r="M169" s="415">
        <f t="shared" si="18"/>
        <v>14065.630000000001</v>
      </c>
      <c r="N169" s="415">
        <f t="shared" si="18"/>
        <v>14065.630000000001</v>
      </c>
      <c r="O169" s="415">
        <f t="shared" si="18"/>
        <v>14065.630000000001</v>
      </c>
      <c r="P169" s="415">
        <f t="shared" si="18"/>
        <v>14065.630000000001</v>
      </c>
      <c r="Q169" s="415">
        <f t="shared" si="18"/>
        <v>14065.630000000001</v>
      </c>
      <c r="R169" s="402">
        <f t="shared" si="18"/>
        <v>14065.630000000001</v>
      </c>
      <c r="S169" s="402">
        <f t="shared" si="18"/>
        <v>147689.11499999999</v>
      </c>
    </row>
    <row r="170" spans="1:19" ht="9" customHeight="1" x14ac:dyDescent="0.2">
      <c r="A170" s="224"/>
      <c r="B170" s="35"/>
      <c r="C170" s="12"/>
      <c r="D170" s="12"/>
      <c r="E170" s="16"/>
      <c r="F170" s="167"/>
      <c r="G170" s="444"/>
      <c r="H170" s="417"/>
      <c r="I170" s="417"/>
      <c r="J170" s="417"/>
      <c r="K170" s="417"/>
      <c r="L170" s="417"/>
      <c r="M170" s="417"/>
      <c r="N170" s="417"/>
      <c r="O170" s="417"/>
      <c r="P170" s="417"/>
      <c r="Q170" s="417"/>
      <c r="R170" s="418"/>
      <c r="S170" s="418"/>
    </row>
    <row r="171" spans="1:19" s="4" customFormat="1" ht="15" x14ac:dyDescent="0.25">
      <c r="A171" s="219"/>
      <c r="B171" s="88" t="s">
        <v>225</v>
      </c>
      <c r="C171" s="53"/>
      <c r="D171" s="53"/>
      <c r="E171" s="61"/>
      <c r="F171" s="154"/>
      <c r="G171" s="414"/>
      <c r="H171" s="388"/>
      <c r="I171" s="388"/>
      <c r="J171" s="388"/>
      <c r="K171" s="388"/>
      <c r="L171" s="388"/>
      <c r="M171" s="388"/>
      <c r="N171" s="388"/>
      <c r="O171" s="388"/>
      <c r="P171" s="388"/>
      <c r="Q171" s="388"/>
      <c r="R171" s="399"/>
      <c r="S171" s="399"/>
    </row>
    <row r="172" spans="1:19" x14ac:dyDescent="0.2">
      <c r="A172" s="219">
        <v>119</v>
      </c>
      <c r="B172" s="36"/>
      <c r="C172" s="9" t="s">
        <v>226</v>
      </c>
      <c r="D172" s="9"/>
      <c r="E172" s="18">
        <v>111</v>
      </c>
      <c r="F172" s="155" t="s">
        <v>227</v>
      </c>
      <c r="G172" s="429">
        <v>15833.333333333334</v>
      </c>
      <c r="H172" s="391">
        <v>15833.333333333334</v>
      </c>
      <c r="I172" s="391">
        <v>15833.333333333334</v>
      </c>
      <c r="J172" s="391">
        <v>15833.333333333334</v>
      </c>
      <c r="K172" s="391">
        <v>15833.333333333334</v>
      </c>
      <c r="L172" s="391">
        <v>15833.333333333334</v>
      </c>
      <c r="M172" s="391">
        <v>15833.333333333334</v>
      </c>
      <c r="N172" s="391">
        <v>15833.333333333334</v>
      </c>
      <c r="O172" s="391">
        <v>15833.333333333334</v>
      </c>
      <c r="P172" s="391">
        <v>15833.333333333334</v>
      </c>
      <c r="Q172" s="391">
        <v>15833.333333333334</v>
      </c>
      <c r="R172" s="400">
        <v>15833.333333333334</v>
      </c>
      <c r="S172" s="400">
        <f t="shared" ref="S172:S185" si="19">SUM(G172:R172)</f>
        <v>190000.00000000003</v>
      </c>
    </row>
    <row r="173" spans="1:19" x14ac:dyDescent="0.2">
      <c r="A173" s="219">
        <v>120</v>
      </c>
      <c r="B173" s="36"/>
      <c r="C173" s="9" t="s">
        <v>228</v>
      </c>
      <c r="D173" s="9"/>
      <c r="E173" s="18" t="s">
        <v>212</v>
      </c>
      <c r="F173" s="155" t="s">
        <v>227</v>
      </c>
      <c r="G173" s="429">
        <v>0</v>
      </c>
      <c r="H173" s="391">
        <v>0</v>
      </c>
      <c r="I173" s="391">
        <v>0</v>
      </c>
      <c r="J173" s="391">
        <v>0</v>
      </c>
      <c r="K173" s="391">
        <v>0</v>
      </c>
      <c r="L173" s="391">
        <v>0</v>
      </c>
      <c r="M173" s="391">
        <v>0</v>
      </c>
      <c r="N173" s="391">
        <v>0</v>
      </c>
      <c r="O173" s="391">
        <v>0</v>
      </c>
      <c r="P173" s="391">
        <v>0</v>
      </c>
      <c r="Q173" s="391">
        <v>0</v>
      </c>
      <c r="R173" s="400">
        <v>0</v>
      </c>
      <c r="S173" s="400">
        <f t="shared" si="19"/>
        <v>0</v>
      </c>
    </row>
    <row r="174" spans="1:19" x14ac:dyDescent="0.2">
      <c r="A174" s="219">
        <v>121</v>
      </c>
      <c r="B174" s="36"/>
      <c r="C174" s="9" t="s">
        <v>229</v>
      </c>
      <c r="D174" s="9"/>
      <c r="E174" s="18" t="s">
        <v>230</v>
      </c>
      <c r="F174" s="155" t="s">
        <v>227</v>
      </c>
      <c r="G174" s="429">
        <v>0</v>
      </c>
      <c r="H174" s="391">
        <v>0</v>
      </c>
      <c r="I174" s="391">
        <v>0</v>
      </c>
      <c r="J174" s="391">
        <v>0</v>
      </c>
      <c r="K174" s="391">
        <v>0</v>
      </c>
      <c r="L174" s="391">
        <v>0</v>
      </c>
      <c r="M174" s="391">
        <v>0</v>
      </c>
      <c r="N174" s="391">
        <v>0</v>
      </c>
      <c r="O174" s="391">
        <v>0</v>
      </c>
      <c r="P174" s="391">
        <v>0</v>
      </c>
      <c r="Q174" s="391">
        <v>0</v>
      </c>
      <c r="R174" s="400">
        <v>0</v>
      </c>
      <c r="S174" s="400">
        <f t="shared" si="19"/>
        <v>0</v>
      </c>
    </row>
    <row r="175" spans="1:19" x14ac:dyDescent="0.2">
      <c r="A175" s="219">
        <v>122</v>
      </c>
      <c r="B175" s="36"/>
      <c r="C175" s="9" t="s">
        <v>231</v>
      </c>
      <c r="D175" s="9"/>
      <c r="E175" s="18" t="s">
        <v>212</v>
      </c>
      <c r="F175" s="155">
        <v>2230</v>
      </c>
      <c r="G175" s="429">
        <v>0</v>
      </c>
      <c r="H175" s="391">
        <v>0</v>
      </c>
      <c r="I175" s="391">
        <v>0</v>
      </c>
      <c r="J175" s="391">
        <v>0</v>
      </c>
      <c r="K175" s="391">
        <v>0</v>
      </c>
      <c r="L175" s="391">
        <v>0</v>
      </c>
      <c r="M175" s="391">
        <v>0</v>
      </c>
      <c r="N175" s="391">
        <v>0</v>
      </c>
      <c r="O175" s="391">
        <v>0</v>
      </c>
      <c r="P175" s="391">
        <v>0</v>
      </c>
      <c r="Q175" s="391">
        <v>0</v>
      </c>
      <c r="R175" s="400">
        <v>0</v>
      </c>
      <c r="S175" s="400">
        <f t="shared" si="19"/>
        <v>0</v>
      </c>
    </row>
    <row r="176" spans="1:19" x14ac:dyDescent="0.2">
      <c r="A176" s="219">
        <v>123</v>
      </c>
      <c r="B176" s="36"/>
      <c r="C176" s="9" t="s">
        <v>232</v>
      </c>
      <c r="D176" s="9"/>
      <c r="E176" s="18" t="s">
        <v>212</v>
      </c>
      <c r="F176" s="155" t="s">
        <v>227</v>
      </c>
      <c r="G176" s="429">
        <v>0</v>
      </c>
      <c r="H176" s="391">
        <v>0</v>
      </c>
      <c r="I176" s="391">
        <v>0</v>
      </c>
      <c r="J176" s="391">
        <v>0</v>
      </c>
      <c r="K176" s="391">
        <v>0</v>
      </c>
      <c r="L176" s="391">
        <v>0</v>
      </c>
      <c r="M176" s="391">
        <v>0</v>
      </c>
      <c r="N176" s="391">
        <v>0</v>
      </c>
      <c r="O176" s="391">
        <v>0</v>
      </c>
      <c r="P176" s="391">
        <v>0</v>
      </c>
      <c r="Q176" s="391">
        <v>0</v>
      </c>
      <c r="R176" s="400">
        <v>0</v>
      </c>
      <c r="S176" s="400">
        <f t="shared" si="19"/>
        <v>0</v>
      </c>
    </row>
    <row r="177" spans="1:19" x14ac:dyDescent="0.2">
      <c r="A177" s="219">
        <v>124</v>
      </c>
      <c r="B177" s="36"/>
      <c r="C177" s="9" t="s">
        <v>184</v>
      </c>
      <c r="D177" s="9"/>
      <c r="E177" s="18" t="s">
        <v>185</v>
      </c>
      <c r="F177" s="155" t="s">
        <v>227</v>
      </c>
      <c r="G177" s="429">
        <v>0</v>
      </c>
      <c r="H177" s="391">
        <v>923.13</v>
      </c>
      <c r="I177" s="391">
        <v>923.13</v>
      </c>
      <c r="J177" s="391">
        <v>923.13</v>
      </c>
      <c r="K177" s="391">
        <v>923.13</v>
      </c>
      <c r="L177" s="391">
        <v>923.13</v>
      </c>
      <c r="M177" s="391">
        <v>923.13</v>
      </c>
      <c r="N177" s="391">
        <v>923.13</v>
      </c>
      <c r="O177" s="391">
        <v>923.13</v>
      </c>
      <c r="P177" s="391">
        <v>923.13</v>
      </c>
      <c r="Q177" s="391">
        <v>923.13</v>
      </c>
      <c r="R177" s="400">
        <v>923.13</v>
      </c>
      <c r="S177" s="400">
        <f t="shared" si="19"/>
        <v>10154.429999999998</v>
      </c>
    </row>
    <row r="178" spans="1:19" x14ac:dyDescent="0.2">
      <c r="A178" s="219">
        <v>125</v>
      </c>
      <c r="B178" s="36"/>
      <c r="C178" s="9" t="s">
        <v>186</v>
      </c>
      <c r="D178" s="9"/>
      <c r="E178" s="18" t="s">
        <v>187</v>
      </c>
      <c r="F178" s="155" t="s">
        <v>227</v>
      </c>
      <c r="G178" s="429">
        <v>981.66666666666663</v>
      </c>
      <c r="H178" s="391">
        <v>981.66666666666663</v>
      </c>
      <c r="I178" s="391">
        <v>981.66666666666663</v>
      </c>
      <c r="J178" s="391">
        <v>981.66666666666663</v>
      </c>
      <c r="K178" s="391">
        <v>981.66666666666663</v>
      </c>
      <c r="L178" s="391">
        <v>981.66666666666663</v>
      </c>
      <c r="M178" s="391">
        <v>981.66666666666663</v>
      </c>
      <c r="N178" s="391">
        <v>981.66666666666663</v>
      </c>
      <c r="O178" s="391">
        <v>981.66666666666663</v>
      </c>
      <c r="P178" s="391">
        <v>981.66666666666663</v>
      </c>
      <c r="Q178" s="391">
        <v>981.66666666666663</v>
      </c>
      <c r="R178" s="400">
        <v>981.66666666666663</v>
      </c>
      <c r="S178" s="400">
        <f t="shared" si="19"/>
        <v>11779.999999999998</v>
      </c>
    </row>
    <row r="179" spans="1:19" x14ac:dyDescent="0.2">
      <c r="A179" s="219">
        <v>126</v>
      </c>
      <c r="B179" s="36"/>
      <c r="C179" s="9" t="s">
        <v>188</v>
      </c>
      <c r="D179" s="9"/>
      <c r="E179" s="18" t="s">
        <v>189</v>
      </c>
      <c r="F179" s="155" t="s">
        <v>227</v>
      </c>
      <c r="G179" s="429">
        <v>229.58333333333329</v>
      </c>
      <c r="H179" s="391">
        <v>229.58333333333329</v>
      </c>
      <c r="I179" s="391">
        <v>229.58333333333329</v>
      </c>
      <c r="J179" s="391">
        <v>229.58333333333329</v>
      </c>
      <c r="K179" s="391">
        <v>229.58333333333329</v>
      </c>
      <c r="L179" s="391">
        <v>229.58333333333329</v>
      </c>
      <c r="M179" s="391">
        <v>229.58333333333329</v>
      </c>
      <c r="N179" s="391">
        <v>229.58333333333329</v>
      </c>
      <c r="O179" s="391">
        <v>229.58333333333329</v>
      </c>
      <c r="P179" s="391">
        <v>229.58333333333329</v>
      </c>
      <c r="Q179" s="391">
        <v>229.58333333333329</v>
      </c>
      <c r="R179" s="400">
        <v>229.58333333333329</v>
      </c>
      <c r="S179" s="400">
        <f t="shared" si="19"/>
        <v>2755</v>
      </c>
    </row>
    <row r="180" spans="1:19" x14ac:dyDescent="0.2">
      <c r="A180" s="219">
        <v>127</v>
      </c>
      <c r="B180" s="36"/>
      <c r="C180" s="9" t="s">
        <v>190</v>
      </c>
      <c r="D180" s="9"/>
      <c r="E180" s="18" t="s">
        <v>191</v>
      </c>
      <c r="F180" s="155" t="s">
        <v>227</v>
      </c>
      <c r="G180" s="429">
        <v>791.66666666666663</v>
      </c>
      <c r="H180" s="391">
        <v>791.66666666666663</v>
      </c>
      <c r="I180" s="391">
        <v>791.66666666666663</v>
      </c>
      <c r="J180" s="391">
        <v>791.66666666666663</v>
      </c>
      <c r="K180" s="391">
        <v>791.66666666666663</v>
      </c>
      <c r="L180" s="391">
        <v>791.66666666666663</v>
      </c>
      <c r="M180" s="391">
        <v>791.66666666666663</v>
      </c>
      <c r="N180" s="391">
        <v>791.66666666666663</v>
      </c>
      <c r="O180" s="391">
        <v>791.66666666666663</v>
      </c>
      <c r="P180" s="391">
        <v>791.66666666666663</v>
      </c>
      <c r="Q180" s="391">
        <v>791.66666666666663</v>
      </c>
      <c r="R180" s="400">
        <v>791.66666666666663</v>
      </c>
      <c r="S180" s="400">
        <f t="shared" si="19"/>
        <v>9500</v>
      </c>
    </row>
    <row r="181" spans="1:19" x14ac:dyDescent="0.2">
      <c r="A181" s="219">
        <v>128</v>
      </c>
      <c r="B181" s="36"/>
      <c r="C181" s="9" t="s">
        <v>192</v>
      </c>
      <c r="D181" s="9"/>
      <c r="E181" s="18" t="s">
        <v>193</v>
      </c>
      <c r="F181" s="155" t="s">
        <v>227</v>
      </c>
      <c r="G181" s="429">
        <v>0</v>
      </c>
      <c r="H181" s="391">
        <v>0</v>
      </c>
      <c r="I181" s="391">
        <v>0</v>
      </c>
      <c r="J181" s="391">
        <v>0</v>
      </c>
      <c r="K181" s="391">
        <v>0</v>
      </c>
      <c r="L181" s="391">
        <v>0</v>
      </c>
      <c r="M181" s="391">
        <v>0</v>
      </c>
      <c r="N181" s="391">
        <v>0</v>
      </c>
      <c r="O181" s="391">
        <v>0</v>
      </c>
      <c r="P181" s="391">
        <v>0</v>
      </c>
      <c r="Q181" s="391">
        <v>0</v>
      </c>
      <c r="R181" s="400">
        <v>0</v>
      </c>
      <c r="S181" s="400">
        <f t="shared" si="19"/>
        <v>0</v>
      </c>
    </row>
    <row r="182" spans="1:19" x14ac:dyDescent="0.2">
      <c r="A182" s="219">
        <v>129</v>
      </c>
      <c r="B182" s="36"/>
      <c r="C182" s="9" t="s">
        <v>194</v>
      </c>
      <c r="D182" s="9"/>
      <c r="E182" s="18" t="s">
        <v>195</v>
      </c>
      <c r="F182" s="155" t="s">
        <v>227</v>
      </c>
      <c r="G182" s="429">
        <v>0</v>
      </c>
      <c r="H182" s="391">
        <v>0</v>
      </c>
      <c r="I182" s="391">
        <v>0</v>
      </c>
      <c r="J182" s="391">
        <v>0</v>
      </c>
      <c r="K182" s="391">
        <v>0</v>
      </c>
      <c r="L182" s="391">
        <v>0</v>
      </c>
      <c r="M182" s="391">
        <v>0</v>
      </c>
      <c r="N182" s="391">
        <v>0</v>
      </c>
      <c r="O182" s="391">
        <v>0</v>
      </c>
      <c r="P182" s="391">
        <v>0</v>
      </c>
      <c r="Q182" s="391">
        <v>0</v>
      </c>
      <c r="R182" s="400">
        <v>0</v>
      </c>
      <c r="S182" s="400">
        <f t="shared" si="19"/>
        <v>0</v>
      </c>
    </row>
    <row r="183" spans="1:19" x14ac:dyDescent="0.2">
      <c r="A183" s="219">
        <v>130</v>
      </c>
      <c r="B183" s="36"/>
      <c r="C183" s="85" t="s">
        <v>196</v>
      </c>
      <c r="D183" s="9"/>
      <c r="E183" s="18"/>
      <c r="F183" s="155"/>
      <c r="G183" s="429">
        <v>0</v>
      </c>
      <c r="H183" s="391">
        <v>0</v>
      </c>
      <c r="I183" s="391">
        <v>0</v>
      </c>
      <c r="J183" s="391">
        <v>0</v>
      </c>
      <c r="K183" s="391">
        <v>0</v>
      </c>
      <c r="L183" s="391">
        <v>0</v>
      </c>
      <c r="M183" s="391">
        <v>0</v>
      </c>
      <c r="N183" s="391">
        <v>0</v>
      </c>
      <c r="O183" s="391">
        <v>0</v>
      </c>
      <c r="P183" s="391">
        <v>0</v>
      </c>
      <c r="Q183" s="391">
        <v>0</v>
      </c>
      <c r="R183" s="400">
        <v>0</v>
      </c>
      <c r="S183" s="400">
        <f t="shared" si="19"/>
        <v>0</v>
      </c>
    </row>
    <row r="184" spans="1:19" x14ac:dyDescent="0.2">
      <c r="A184" s="219">
        <v>131</v>
      </c>
      <c r="B184" s="36"/>
      <c r="C184" s="85"/>
      <c r="D184" s="9"/>
      <c r="E184" s="18"/>
      <c r="F184" s="155"/>
      <c r="G184" s="429">
        <v>0</v>
      </c>
      <c r="H184" s="391">
        <v>0</v>
      </c>
      <c r="I184" s="391">
        <v>0</v>
      </c>
      <c r="J184" s="391">
        <v>0</v>
      </c>
      <c r="K184" s="391">
        <v>0</v>
      </c>
      <c r="L184" s="391">
        <v>0</v>
      </c>
      <c r="M184" s="391">
        <v>0</v>
      </c>
      <c r="N184" s="391">
        <v>0</v>
      </c>
      <c r="O184" s="391">
        <v>0</v>
      </c>
      <c r="P184" s="391">
        <v>0</v>
      </c>
      <c r="Q184" s="391">
        <v>0</v>
      </c>
      <c r="R184" s="400">
        <v>0</v>
      </c>
      <c r="S184" s="400">
        <f t="shared" si="19"/>
        <v>0</v>
      </c>
    </row>
    <row r="185" spans="1:19" x14ac:dyDescent="0.2">
      <c r="A185" s="219">
        <v>132</v>
      </c>
      <c r="B185" s="83"/>
      <c r="D185" s="13"/>
      <c r="E185" s="14"/>
      <c r="F185" s="163"/>
      <c r="G185" s="429">
        <v>0</v>
      </c>
      <c r="H185" s="412">
        <v>0</v>
      </c>
      <c r="I185" s="412">
        <v>0</v>
      </c>
      <c r="J185" s="412">
        <v>0</v>
      </c>
      <c r="K185" s="412">
        <v>0</v>
      </c>
      <c r="L185" s="412">
        <v>0</v>
      </c>
      <c r="M185" s="412">
        <v>0</v>
      </c>
      <c r="N185" s="412">
        <v>0</v>
      </c>
      <c r="O185" s="412">
        <v>0</v>
      </c>
      <c r="P185" s="412">
        <v>0</v>
      </c>
      <c r="Q185" s="412">
        <v>0</v>
      </c>
      <c r="R185" s="413">
        <v>0</v>
      </c>
      <c r="S185" s="400">
        <f t="shared" si="19"/>
        <v>0</v>
      </c>
    </row>
    <row r="186" spans="1:19" ht="15" x14ac:dyDescent="0.25">
      <c r="A186" s="220">
        <v>133</v>
      </c>
      <c r="B186" s="87" t="s">
        <v>233</v>
      </c>
      <c r="C186" s="51"/>
      <c r="D186" s="51"/>
      <c r="E186" s="49"/>
      <c r="F186" s="159"/>
      <c r="G186" s="438">
        <f t="shared" ref="G186:S186" si="20">SUM(G172:G185)</f>
        <v>17836.25</v>
      </c>
      <c r="H186" s="415">
        <f t="shared" si="20"/>
        <v>18759.38</v>
      </c>
      <c r="I186" s="415">
        <f t="shared" si="20"/>
        <v>18759.38</v>
      </c>
      <c r="J186" s="415">
        <f t="shared" si="20"/>
        <v>18759.38</v>
      </c>
      <c r="K186" s="415">
        <f t="shared" si="20"/>
        <v>18759.38</v>
      </c>
      <c r="L186" s="415">
        <f t="shared" si="20"/>
        <v>18759.38</v>
      </c>
      <c r="M186" s="415">
        <f t="shared" si="20"/>
        <v>18759.38</v>
      </c>
      <c r="N186" s="415">
        <f t="shared" si="20"/>
        <v>18759.38</v>
      </c>
      <c r="O186" s="415">
        <f t="shared" si="20"/>
        <v>18759.38</v>
      </c>
      <c r="P186" s="415">
        <f t="shared" si="20"/>
        <v>18759.38</v>
      </c>
      <c r="Q186" s="415">
        <f t="shared" si="20"/>
        <v>18759.38</v>
      </c>
      <c r="R186" s="402">
        <f t="shared" si="20"/>
        <v>18759.38</v>
      </c>
      <c r="S186" s="402">
        <f t="shared" si="20"/>
        <v>224189.43000000002</v>
      </c>
    </row>
    <row r="187" spans="1:19" ht="4.5" customHeight="1" x14ac:dyDescent="0.2">
      <c r="A187" s="224"/>
      <c r="B187" s="35"/>
      <c r="C187" s="12"/>
      <c r="D187" s="12"/>
      <c r="E187" s="16"/>
      <c r="F187" s="167"/>
      <c r="G187" s="444"/>
      <c r="H187" s="417"/>
      <c r="I187" s="417"/>
      <c r="J187" s="417"/>
      <c r="K187" s="417"/>
      <c r="L187" s="417"/>
      <c r="M187" s="417"/>
      <c r="N187" s="417"/>
      <c r="O187" s="417"/>
      <c r="P187" s="417"/>
      <c r="Q187" s="417"/>
      <c r="R187" s="418"/>
      <c r="S187" s="418"/>
    </row>
    <row r="188" spans="1:19" s="4" customFormat="1" ht="15" x14ac:dyDescent="0.25">
      <c r="A188" s="219"/>
      <c r="B188" s="88" t="s">
        <v>234</v>
      </c>
      <c r="C188" s="53"/>
      <c r="D188" s="53"/>
      <c r="E188" s="61"/>
      <c r="F188" s="154"/>
      <c r="G188" s="414"/>
      <c r="H188" s="388"/>
      <c r="I188" s="388"/>
      <c r="J188" s="388"/>
      <c r="K188" s="388"/>
      <c r="L188" s="388"/>
      <c r="M188" s="388"/>
      <c r="N188" s="388"/>
      <c r="O188" s="388"/>
      <c r="P188" s="388"/>
      <c r="Q188" s="388"/>
      <c r="R188" s="399"/>
      <c r="S188" s="399"/>
    </row>
    <row r="189" spans="1:19" x14ac:dyDescent="0.2">
      <c r="A189" s="219"/>
      <c r="B189" s="25"/>
      <c r="C189" s="11" t="s">
        <v>235</v>
      </c>
      <c r="D189" s="11"/>
      <c r="E189" s="61"/>
      <c r="F189" s="154"/>
      <c r="G189" s="414"/>
      <c r="H189" s="388"/>
      <c r="I189" s="388"/>
      <c r="J189" s="388"/>
      <c r="K189" s="388"/>
      <c r="L189" s="388"/>
      <c r="M189" s="388"/>
      <c r="N189" s="388"/>
      <c r="O189" s="388"/>
      <c r="P189" s="388"/>
      <c r="Q189" s="388"/>
      <c r="R189" s="399"/>
      <c r="S189" s="399"/>
    </row>
    <row r="190" spans="1:19" x14ac:dyDescent="0.2">
      <c r="A190" s="219">
        <v>134</v>
      </c>
      <c r="B190" s="36"/>
      <c r="C190" s="9"/>
      <c r="D190" s="9" t="s">
        <v>236</v>
      </c>
      <c r="E190" s="18">
        <v>332</v>
      </c>
      <c r="F190" s="155" t="s">
        <v>237</v>
      </c>
      <c r="G190" s="429">
        <v>0</v>
      </c>
      <c r="H190" s="391">
        <v>0</v>
      </c>
      <c r="I190" s="391">
        <v>0</v>
      </c>
      <c r="J190" s="391">
        <v>0</v>
      </c>
      <c r="K190" s="391">
        <v>0</v>
      </c>
      <c r="L190" s="391">
        <v>0</v>
      </c>
      <c r="M190" s="391">
        <v>0</v>
      </c>
      <c r="N190" s="391">
        <v>0</v>
      </c>
      <c r="O190" s="391">
        <v>0</v>
      </c>
      <c r="P190" s="391">
        <v>0</v>
      </c>
      <c r="Q190" s="391">
        <v>0</v>
      </c>
      <c r="R190" s="400">
        <v>0</v>
      </c>
      <c r="S190" s="400">
        <f t="shared" ref="S190:S200" si="21">SUM(G190:R190)</f>
        <v>0</v>
      </c>
    </row>
    <row r="191" spans="1:19" x14ac:dyDescent="0.2">
      <c r="A191" s="219">
        <v>135</v>
      </c>
      <c r="B191" s="36"/>
      <c r="C191" s="9"/>
      <c r="D191" s="9" t="s">
        <v>168</v>
      </c>
      <c r="E191" s="18" t="s">
        <v>169</v>
      </c>
      <c r="F191" s="155" t="s">
        <v>238</v>
      </c>
      <c r="G191" s="429">
        <v>0</v>
      </c>
      <c r="H191" s="391">
        <v>0</v>
      </c>
      <c r="I191" s="391">
        <v>0</v>
      </c>
      <c r="J191" s="391">
        <v>0</v>
      </c>
      <c r="K191" s="391">
        <v>0</v>
      </c>
      <c r="L191" s="391">
        <v>0</v>
      </c>
      <c r="M191" s="391">
        <v>0</v>
      </c>
      <c r="N191" s="391">
        <v>0</v>
      </c>
      <c r="O191" s="391">
        <v>0</v>
      </c>
      <c r="P191" s="391">
        <v>0</v>
      </c>
      <c r="Q191" s="391">
        <v>0</v>
      </c>
      <c r="R191" s="400">
        <v>0</v>
      </c>
      <c r="S191" s="400">
        <f t="shared" si="21"/>
        <v>0</v>
      </c>
    </row>
    <row r="192" spans="1:19" x14ac:dyDescent="0.2">
      <c r="A192" s="219">
        <v>136</v>
      </c>
      <c r="B192" s="36"/>
      <c r="C192" s="9"/>
      <c r="D192" s="9" t="s">
        <v>239</v>
      </c>
      <c r="E192" s="18" t="s">
        <v>240</v>
      </c>
      <c r="F192" s="155" t="s">
        <v>238</v>
      </c>
      <c r="G192" s="429">
        <v>0</v>
      </c>
      <c r="H192" s="391">
        <v>0</v>
      </c>
      <c r="I192" s="391">
        <v>0</v>
      </c>
      <c r="J192" s="391">
        <v>0</v>
      </c>
      <c r="K192" s="391">
        <v>0</v>
      </c>
      <c r="L192" s="391">
        <v>0</v>
      </c>
      <c r="M192" s="391">
        <v>0</v>
      </c>
      <c r="N192" s="391">
        <v>0</v>
      </c>
      <c r="O192" s="391">
        <v>0</v>
      </c>
      <c r="P192" s="391">
        <v>0</v>
      </c>
      <c r="Q192" s="391">
        <v>0</v>
      </c>
      <c r="R192" s="400">
        <v>0</v>
      </c>
      <c r="S192" s="400">
        <f t="shared" si="21"/>
        <v>0</v>
      </c>
    </row>
    <row r="193" spans="1:19" x14ac:dyDescent="0.2">
      <c r="A193" s="219">
        <v>137</v>
      </c>
      <c r="B193" s="36"/>
      <c r="C193" s="9"/>
      <c r="D193" s="9" t="s">
        <v>241</v>
      </c>
      <c r="E193" s="18" t="s">
        <v>242</v>
      </c>
      <c r="F193" s="155" t="s">
        <v>237</v>
      </c>
      <c r="G193" s="429">
        <v>0</v>
      </c>
      <c r="H193" s="391">
        <v>0</v>
      </c>
      <c r="I193" s="391">
        <v>0</v>
      </c>
      <c r="J193" s="391">
        <v>0</v>
      </c>
      <c r="K193" s="391">
        <v>0</v>
      </c>
      <c r="L193" s="391">
        <v>0</v>
      </c>
      <c r="M193" s="391">
        <v>0</v>
      </c>
      <c r="N193" s="391">
        <v>0</v>
      </c>
      <c r="O193" s="391">
        <v>0</v>
      </c>
      <c r="P193" s="391">
        <v>0</v>
      </c>
      <c r="Q193" s="391">
        <v>0</v>
      </c>
      <c r="R193" s="400">
        <v>0</v>
      </c>
      <c r="S193" s="400">
        <f t="shared" si="21"/>
        <v>0</v>
      </c>
    </row>
    <row r="194" spans="1:19" x14ac:dyDescent="0.2">
      <c r="A194" s="219">
        <v>138</v>
      </c>
      <c r="B194" s="36"/>
      <c r="C194" s="9"/>
      <c r="D194" s="9" t="s">
        <v>51</v>
      </c>
      <c r="E194" s="18" t="s">
        <v>243</v>
      </c>
      <c r="F194" s="155" t="s">
        <v>238</v>
      </c>
      <c r="G194" s="429">
        <v>0</v>
      </c>
      <c r="H194" s="391">
        <v>0</v>
      </c>
      <c r="I194" s="391">
        <v>0</v>
      </c>
      <c r="J194" s="391">
        <v>0</v>
      </c>
      <c r="K194" s="391">
        <v>0</v>
      </c>
      <c r="L194" s="391">
        <v>0</v>
      </c>
      <c r="M194" s="391">
        <v>0</v>
      </c>
      <c r="N194" s="391">
        <v>0</v>
      </c>
      <c r="O194" s="391">
        <v>0</v>
      </c>
      <c r="P194" s="391">
        <v>0</v>
      </c>
      <c r="Q194" s="391">
        <v>0</v>
      </c>
      <c r="R194" s="400">
        <v>0</v>
      </c>
      <c r="S194" s="400">
        <f t="shared" si="21"/>
        <v>0</v>
      </c>
    </row>
    <row r="195" spans="1:19" x14ac:dyDescent="0.2">
      <c r="A195" s="219">
        <v>139</v>
      </c>
      <c r="B195" s="36"/>
      <c r="C195" s="9"/>
      <c r="D195" s="9" t="s">
        <v>244</v>
      </c>
      <c r="E195" s="18">
        <v>730</v>
      </c>
      <c r="F195" s="155" t="s">
        <v>237</v>
      </c>
      <c r="G195" s="429">
        <v>0</v>
      </c>
      <c r="H195" s="391">
        <v>0</v>
      </c>
      <c r="I195" s="391">
        <v>0</v>
      </c>
      <c r="J195" s="391">
        <v>0</v>
      </c>
      <c r="K195" s="391">
        <v>0</v>
      </c>
      <c r="L195" s="391">
        <v>0</v>
      </c>
      <c r="M195" s="391">
        <v>0</v>
      </c>
      <c r="N195" s="391">
        <v>0</v>
      </c>
      <c r="O195" s="391">
        <v>0</v>
      </c>
      <c r="P195" s="391">
        <v>0</v>
      </c>
      <c r="Q195" s="391">
        <v>0</v>
      </c>
      <c r="R195" s="400">
        <v>0</v>
      </c>
      <c r="S195" s="400">
        <f t="shared" si="21"/>
        <v>0</v>
      </c>
    </row>
    <row r="196" spans="1:19" x14ac:dyDescent="0.2">
      <c r="A196" s="219">
        <v>140</v>
      </c>
      <c r="B196" s="36"/>
      <c r="C196" s="9"/>
      <c r="D196" s="9" t="s">
        <v>245</v>
      </c>
      <c r="E196" s="18" t="s">
        <v>246</v>
      </c>
      <c r="F196" s="155" t="s">
        <v>238</v>
      </c>
      <c r="G196" s="429">
        <v>0</v>
      </c>
      <c r="H196" s="391">
        <v>0</v>
      </c>
      <c r="I196" s="391">
        <v>0</v>
      </c>
      <c r="J196" s="391">
        <v>0</v>
      </c>
      <c r="K196" s="391">
        <v>0</v>
      </c>
      <c r="L196" s="391">
        <v>0</v>
      </c>
      <c r="M196" s="391">
        <v>0</v>
      </c>
      <c r="N196" s="391">
        <v>0</v>
      </c>
      <c r="O196" s="391">
        <v>0</v>
      </c>
      <c r="P196" s="391">
        <v>0</v>
      </c>
      <c r="Q196" s="391">
        <v>0</v>
      </c>
      <c r="R196" s="400">
        <v>0</v>
      </c>
      <c r="S196" s="400">
        <f t="shared" si="21"/>
        <v>0</v>
      </c>
    </row>
    <row r="197" spans="1:19" x14ac:dyDescent="0.2">
      <c r="A197" s="219">
        <v>141</v>
      </c>
      <c r="B197" s="36"/>
      <c r="C197" s="9"/>
      <c r="D197" s="9" t="s">
        <v>247</v>
      </c>
      <c r="E197" s="18" t="s">
        <v>248</v>
      </c>
      <c r="F197" s="155" t="s">
        <v>238</v>
      </c>
      <c r="G197" s="429">
        <v>0</v>
      </c>
      <c r="H197" s="391">
        <v>0</v>
      </c>
      <c r="I197" s="391">
        <v>0</v>
      </c>
      <c r="J197" s="391">
        <v>0</v>
      </c>
      <c r="K197" s="391">
        <v>0</v>
      </c>
      <c r="L197" s="391">
        <v>0</v>
      </c>
      <c r="M197" s="391">
        <v>0</v>
      </c>
      <c r="N197" s="391">
        <v>0</v>
      </c>
      <c r="O197" s="391">
        <v>0</v>
      </c>
      <c r="P197" s="391">
        <v>0</v>
      </c>
      <c r="Q197" s="391">
        <v>0</v>
      </c>
      <c r="R197" s="400">
        <v>0</v>
      </c>
      <c r="S197" s="400">
        <f t="shared" si="21"/>
        <v>0</v>
      </c>
    </row>
    <row r="198" spans="1:19" x14ac:dyDescent="0.2">
      <c r="A198" s="219">
        <v>142</v>
      </c>
      <c r="B198" s="36"/>
      <c r="C198" s="85" t="s">
        <v>196</v>
      </c>
      <c r="D198" s="9"/>
      <c r="E198" s="18"/>
      <c r="F198" s="155"/>
      <c r="G198" s="429">
        <v>0</v>
      </c>
      <c r="H198" s="391">
        <v>0</v>
      </c>
      <c r="I198" s="391">
        <v>0</v>
      </c>
      <c r="J198" s="391">
        <v>0</v>
      </c>
      <c r="K198" s="391">
        <v>0</v>
      </c>
      <c r="L198" s="391">
        <v>0</v>
      </c>
      <c r="M198" s="391">
        <v>0</v>
      </c>
      <c r="N198" s="391">
        <v>0</v>
      </c>
      <c r="O198" s="391">
        <v>0</v>
      </c>
      <c r="P198" s="391">
        <v>0</v>
      </c>
      <c r="Q198" s="391">
        <v>0</v>
      </c>
      <c r="R198" s="400">
        <v>0</v>
      </c>
      <c r="S198" s="400">
        <f t="shared" si="21"/>
        <v>0</v>
      </c>
    </row>
    <row r="199" spans="1:19" x14ac:dyDescent="0.2">
      <c r="A199" s="219">
        <v>143</v>
      </c>
      <c r="B199" s="107"/>
      <c r="C199" s="108"/>
      <c r="D199" s="109"/>
      <c r="E199" s="18"/>
      <c r="F199" s="155"/>
      <c r="G199" s="429">
        <v>0</v>
      </c>
      <c r="H199" s="391">
        <v>0</v>
      </c>
      <c r="I199" s="391">
        <v>0</v>
      </c>
      <c r="J199" s="391">
        <v>0</v>
      </c>
      <c r="K199" s="391">
        <v>0</v>
      </c>
      <c r="L199" s="391">
        <v>0</v>
      </c>
      <c r="M199" s="391">
        <v>0</v>
      </c>
      <c r="N199" s="391">
        <v>0</v>
      </c>
      <c r="O199" s="391">
        <v>0</v>
      </c>
      <c r="P199" s="391">
        <v>0</v>
      </c>
      <c r="Q199" s="391">
        <v>0</v>
      </c>
      <c r="R199" s="400">
        <v>0</v>
      </c>
      <c r="S199" s="400">
        <f t="shared" si="21"/>
        <v>0</v>
      </c>
    </row>
    <row r="200" spans="1:19" x14ac:dyDescent="0.2">
      <c r="A200" s="219">
        <v>144</v>
      </c>
      <c r="B200" s="36"/>
      <c r="C200" s="9"/>
      <c r="D200" s="9"/>
      <c r="E200" s="18"/>
      <c r="F200" s="155"/>
      <c r="G200" s="429">
        <v>0</v>
      </c>
      <c r="H200" s="391">
        <v>0</v>
      </c>
      <c r="I200" s="391">
        <v>0</v>
      </c>
      <c r="J200" s="391">
        <v>0</v>
      </c>
      <c r="K200" s="391">
        <v>0</v>
      </c>
      <c r="L200" s="391">
        <v>0</v>
      </c>
      <c r="M200" s="391">
        <v>0</v>
      </c>
      <c r="N200" s="391">
        <v>0</v>
      </c>
      <c r="O200" s="391">
        <v>0</v>
      </c>
      <c r="P200" s="391">
        <v>0</v>
      </c>
      <c r="Q200" s="391">
        <v>0</v>
      </c>
      <c r="R200" s="400">
        <v>0</v>
      </c>
      <c r="S200" s="400">
        <f t="shared" si="21"/>
        <v>0</v>
      </c>
    </row>
    <row r="201" spans="1:19" ht="15" x14ac:dyDescent="0.25">
      <c r="A201" s="220">
        <v>145</v>
      </c>
      <c r="B201" s="87" t="s">
        <v>249</v>
      </c>
      <c r="C201" s="51"/>
      <c r="D201" s="51"/>
      <c r="E201" s="49"/>
      <c r="F201" s="159"/>
      <c r="G201" s="438">
        <f t="shared" ref="G201:S201" si="22">SUM(G190:G200)</f>
        <v>0</v>
      </c>
      <c r="H201" s="415">
        <f t="shared" si="22"/>
        <v>0</v>
      </c>
      <c r="I201" s="415">
        <f t="shared" si="22"/>
        <v>0</v>
      </c>
      <c r="J201" s="415">
        <f t="shared" si="22"/>
        <v>0</v>
      </c>
      <c r="K201" s="415">
        <f t="shared" si="22"/>
        <v>0</v>
      </c>
      <c r="L201" s="415">
        <f t="shared" si="22"/>
        <v>0</v>
      </c>
      <c r="M201" s="415">
        <f t="shared" si="22"/>
        <v>0</v>
      </c>
      <c r="N201" s="415">
        <f t="shared" si="22"/>
        <v>0</v>
      </c>
      <c r="O201" s="415">
        <f t="shared" si="22"/>
        <v>0</v>
      </c>
      <c r="P201" s="415">
        <f t="shared" si="22"/>
        <v>0</v>
      </c>
      <c r="Q201" s="415">
        <f t="shared" si="22"/>
        <v>0</v>
      </c>
      <c r="R201" s="402">
        <f t="shared" si="22"/>
        <v>0</v>
      </c>
      <c r="S201" s="402">
        <f t="shared" si="22"/>
        <v>0</v>
      </c>
    </row>
    <row r="202" spans="1:19" x14ac:dyDescent="0.2">
      <c r="A202" s="219"/>
      <c r="B202" s="36"/>
      <c r="C202" s="9"/>
      <c r="D202" s="9"/>
      <c r="E202" s="18"/>
      <c r="F202" s="155"/>
      <c r="G202" s="429"/>
      <c r="H202" s="391"/>
      <c r="I202" s="391"/>
      <c r="J202" s="391"/>
      <c r="K202" s="391"/>
      <c r="L202" s="391"/>
      <c r="M202" s="391"/>
      <c r="N202" s="391"/>
      <c r="O202" s="391"/>
      <c r="P202" s="391"/>
      <c r="Q202" s="391"/>
      <c r="R202" s="400"/>
      <c r="S202" s="400"/>
    </row>
    <row r="203" spans="1:19" s="4" customFormat="1" ht="15" x14ac:dyDescent="0.25">
      <c r="A203" s="219"/>
      <c r="B203" s="88" t="s">
        <v>250</v>
      </c>
      <c r="C203" s="53"/>
      <c r="D203" s="53"/>
      <c r="E203" s="61"/>
      <c r="F203" s="154"/>
      <c r="G203" s="414"/>
      <c r="H203" s="388"/>
      <c r="I203" s="388"/>
      <c r="J203" s="388"/>
      <c r="K203" s="388"/>
      <c r="L203" s="388"/>
      <c r="M203" s="388"/>
      <c r="N203" s="388"/>
      <c r="O203" s="388"/>
      <c r="P203" s="388"/>
      <c r="Q203" s="388"/>
      <c r="R203" s="399"/>
      <c r="S203" s="399"/>
    </row>
    <row r="204" spans="1:19" x14ac:dyDescent="0.2">
      <c r="A204" s="219"/>
      <c r="B204" s="36"/>
      <c r="C204" s="9" t="s">
        <v>160</v>
      </c>
      <c r="D204" s="9"/>
      <c r="E204" s="61"/>
      <c r="F204" s="154"/>
      <c r="G204" s="414"/>
      <c r="H204" s="388"/>
      <c r="I204" s="388"/>
      <c r="J204" s="388"/>
      <c r="K204" s="388"/>
      <c r="L204" s="388"/>
      <c r="M204" s="388"/>
      <c r="N204" s="388"/>
      <c r="O204" s="388"/>
      <c r="P204" s="388"/>
      <c r="Q204" s="388"/>
      <c r="R204" s="399"/>
      <c r="S204" s="399"/>
    </row>
    <row r="205" spans="1:19" x14ac:dyDescent="0.2">
      <c r="A205" s="219">
        <v>146</v>
      </c>
      <c r="B205" s="36"/>
      <c r="C205" s="9"/>
      <c r="D205" s="9" t="s">
        <v>251</v>
      </c>
      <c r="E205" s="18" t="s">
        <v>252</v>
      </c>
      <c r="F205" s="155" t="s">
        <v>253</v>
      </c>
      <c r="G205" s="429">
        <v>8333.3333333333339</v>
      </c>
      <c r="H205" s="391">
        <v>8333.3333333333339</v>
      </c>
      <c r="I205" s="391">
        <v>8333.3333333333339</v>
      </c>
      <c r="J205" s="391">
        <v>8333.3333333333339</v>
      </c>
      <c r="K205" s="391">
        <v>8333.3333333333339</v>
      </c>
      <c r="L205" s="391">
        <v>8333.3333333333339</v>
      </c>
      <c r="M205" s="391">
        <v>8333.3333333333339</v>
      </c>
      <c r="N205" s="391">
        <v>8333.3333333333339</v>
      </c>
      <c r="O205" s="391">
        <v>8333.3333333333339</v>
      </c>
      <c r="P205" s="391">
        <v>8333.3333333333339</v>
      </c>
      <c r="Q205" s="391">
        <v>8333.3333333333339</v>
      </c>
      <c r="R205" s="400">
        <v>8333.3333333333339</v>
      </c>
      <c r="S205" s="400">
        <f t="shared" ref="S205:S225" si="23">SUM(G205:R205)</f>
        <v>99999.999999999985</v>
      </c>
    </row>
    <row r="206" spans="1:19" x14ac:dyDescent="0.2">
      <c r="A206" s="219">
        <v>147</v>
      </c>
      <c r="B206" s="36"/>
      <c r="C206" s="9"/>
      <c r="D206" s="9" t="s">
        <v>254</v>
      </c>
      <c r="E206" s="18" t="s">
        <v>252</v>
      </c>
      <c r="F206" s="155" t="s">
        <v>255</v>
      </c>
      <c r="G206" s="429">
        <v>7708.333333333333</v>
      </c>
      <c r="H206" s="391">
        <v>7708.333333333333</v>
      </c>
      <c r="I206" s="391">
        <v>7708.333333333333</v>
      </c>
      <c r="J206" s="391">
        <v>7708.333333333333</v>
      </c>
      <c r="K206" s="391">
        <v>7708.333333333333</v>
      </c>
      <c r="L206" s="391">
        <v>7708.333333333333</v>
      </c>
      <c r="M206" s="391">
        <v>7708.333333333333</v>
      </c>
      <c r="N206" s="391">
        <v>7708.333333333333</v>
      </c>
      <c r="O206" s="391">
        <v>7708.333333333333</v>
      </c>
      <c r="P206" s="391">
        <v>7708.333333333333</v>
      </c>
      <c r="Q206" s="391">
        <v>7708.333333333333</v>
      </c>
      <c r="R206" s="400">
        <v>7708.333333333333</v>
      </c>
      <c r="S206" s="400">
        <f t="shared" si="23"/>
        <v>92499.999999999985</v>
      </c>
    </row>
    <row r="207" spans="1:19" x14ac:dyDescent="0.2">
      <c r="A207" s="219">
        <v>148</v>
      </c>
      <c r="B207" s="36"/>
      <c r="C207" s="9"/>
      <c r="D207" s="9" t="s">
        <v>256</v>
      </c>
      <c r="E207" s="18" t="s">
        <v>257</v>
      </c>
      <c r="F207" s="155" t="s">
        <v>258</v>
      </c>
      <c r="G207" s="429">
        <v>5416.666666666667</v>
      </c>
      <c r="H207" s="391">
        <v>5416.666666666667</v>
      </c>
      <c r="I207" s="391">
        <v>5416.666666666667</v>
      </c>
      <c r="J207" s="391">
        <v>5416.666666666667</v>
      </c>
      <c r="K207" s="391">
        <v>5416.666666666667</v>
      </c>
      <c r="L207" s="391">
        <v>5416.666666666667</v>
      </c>
      <c r="M207" s="391">
        <v>5416.666666666667</v>
      </c>
      <c r="N207" s="391">
        <v>5416.666666666667</v>
      </c>
      <c r="O207" s="391">
        <v>5416.666666666667</v>
      </c>
      <c r="P207" s="391">
        <v>5416.666666666667</v>
      </c>
      <c r="Q207" s="391">
        <v>5416.666666666667</v>
      </c>
      <c r="R207" s="400">
        <v>5416.666666666667</v>
      </c>
      <c r="S207" s="400">
        <f t="shared" si="23"/>
        <v>64999.999999999993</v>
      </c>
    </row>
    <row r="208" spans="1:19" x14ac:dyDescent="0.2">
      <c r="A208" s="219">
        <v>149</v>
      </c>
      <c r="B208" s="36"/>
      <c r="C208" s="9" t="s">
        <v>168</v>
      </c>
      <c r="D208" s="9"/>
      <c r="E208" s="18" t="s">
        <v>169</v>
      </c>
      <c r="F208" s="155" t="s">
        <v>258</v>
      </c>
      <c r="G208" s="429">
        <v>10056.021936813187</v>
      </c>
      <c r="H208" s="391">
        <v>10056.021936813187</v>
      </c>
      <c r="I208" s="391">
        <v>10056.021936813187</v>
      </c>
      <c r="J208" s="391">
        <v>10056.021936813187</v>
      </c>
      <c r="K208" s="391">
        <v>10056.021936813187</v>
      </c>
      <c r="L208" s="391">
        <v>10056.021936813187</v>
      </c>
      <c r="M208" s="391">
        <v>10056.021936813187</v>
      </c>
      <c r="N208" s="391">
        <v>10056.021936813187</v>
      </c>
      <c r="O208" s="391">
        <v>10056.021936813187</v>
      </c>
      <c r="P208" s="391">
        <v>10056.021936813187</v>
      </c>
      <c r="Q208" s="391">
        <v>10056.021936813187</v>
      </c>
      <c r="R208" s="400">
        <v>10056.021936813187</v>
      </c>
      <c r="S208" s="400">
        <f t="shared" si="23"/>
        <v>120672.26324175828</v>
      </c>
    </row>
    <row r="209" spans="1:19" x14ac:dyDescent="0.2">
      <c r="A209" s="219">
        <v>150</v>
      </c>
      <c r="B209" s="36"/>
      <c r="C209" s="9" t="s">
        <v>171</v>
      </c>
      <c r="D209" s="9"/>
      <c r="E209" s="18" t="s">
        <v>172</v>
      </c>
      <c r="F209" s="155" t="s">
        <v>258</v>
      </c>
      <c r="G209" s="429">
        <v>0</v>
      </c>
      <c r="H209" s="391">
        <v>0</v>
      </c>
      <c r="I209" s="391">
        <v>0</v>
      </c>
      <c r="J209" s="391">
        <v>0</v>
      </c>
      <c r="K209" s="391">
        <v>0</v>
      </c>
      <c r="L209" s="391">
        <v>0</v>
      </c>
      <c r="M209" s="391">
        <v>0</v>
      </c>
      <c r="N209" s="391">
        <v>0</v>
      </c>
      <c r="O209" s="391">
        <v>0</v>
      </c>
      <c r="P209" s="391">
        <v>0</v>
      </c>
      <c r="Q209" s="391">
        <v>0</v>
      </c>
      <c r="R209" s="400">
        <v>0</v>
      </c>
      <c r="S209" s="400">
        <f t="shared" si="23"/>
        <v>0</v>
      </c>
    </row>
    <row r="210" spans="1:19" x14ac:dyDescent="0.2">
      <c r="A210" s="219">
        <v>151</v>
      </c>
      <c r="B210" s="36"/>
      <c r="C210" s="9" t="s">
        <v>260</v>
      </c>
      <c r="D210" s="9"/>
      <c r="E210" s="18" t="s">
        <v>261</v>
      </c>
      <c r="F210" s="155" t="s">
        <v>258</v>
      </c>
      <c r="G210" s="429">
        <v>4540.6942307692307</v>
      </c>
      <c r="H210" s="391">
        <v>4540.6942307692307</v>
      </c>
      <c r="I210" s="391">
        <v>4540.6942307692307</v>
      </c>
      <c r="J210" s="391">
        <v>4540.6942307692307</v>
      </c>
      <c r="K210" s="391">
        <v>4540.6942307692307</v>
      </c>
      <c r="L210" s="391">
        <v>4540.6942307692307</v>
      </c>
      <c r="M210" s="391">
        <v>4540.6942307692307</v>
      </c>
      <c r="N210" s="391">
        <v>4540.6942307692307</v>
      </c>
      <c r="O210" s="391">
        <v>4540.6942307692307</v>
      </c>
      <c r="P210" s="391">
        <v>4540.6942307692307</v>
      </c>
      <c r="Q210" s="391">
        <v>4540.6942307692307</v>
      </c>
      <c r="R210" s="400">
        <v>4540.6942307692307</v>
      </c>
      <c r="S210" s="400">
        <f t="shared" si="23"/>
        <v>54488.330769230764</v>
      </c>
    </row>
    <row r="211" spans="1:19" x14ac:dyDescent="0.2">
      <c r="A211" s="219">
        <v>152</v>
      </c>
      <c r="B211" s="36"/>
      <c r="C211" s="9" t="s">
        <v>263</v>
      </c>
      <c r="D211" s="9"/>
      <c r="E211" s="18" t="s">
        <v>264</v>
      </c>
      <c r="F211" s="155" t="s">
        <v>258</v>
      </c>
      <c r="G211" s="429">
        <v>0</v>
      </c>
      <c r="H211" s="391">
        <v>0</v>
      </c>
      <c r="I211" s="391">
        <v>0</v>
      </c>
      <c r="J211" s="391">
        <v>0</v>
      </c>
      <c r="K211" s="391">
        <v>0</v>
      </c>
      <c r="L211" s="391">
        <v>0</v>
      </c>
      <c r="M211" s="391">
        <v>0</v>
      </c>
      <c r="N211" s="391">
        <v>0</v>
      </c>
      <c r="O211" s="391">
        <v>0</v>
      </c>
      <c r="P211" s="391">
        <v>0</v>
      </c>
      <c r="Q211" s="391">
        <v>0</v>
      </c>
      <c r="R211" s="400">
        <v>0</v>
      </c>
      <c r="S211" s="400">
        <f t="shared" si="23"/>
        <v>0</v>
      </c>
    </row>
    <row r="212" spans="1:19" x14ac:dyDescent="0.2">
      <c r="A212" s="219">
        <v>153</v>
      </c>
      <c r="B212" s="36"/>
      <c r="C212" s="9" t="s">
        <v>173</v>
      </c>
      <c r="D212" s="9"/>
      <c r="E212" s="18" t="s">
        <v>174</v>
      </c>
      <c r="F212" s="155" t="s">
        <v>258</v>
      </c>
      <c r="G212" s="429">
        <v>625.21756578947361</v>
      </c>
      <c r="H212" s="391">
        <v>625.21756578947361</v>
      </c>
      <c r="I212" s="391">
        <v>625.21756578947361</v>
      </c>
      <c r="J212" s="391">
        <v>625.21756578947361</v>
      </c>
      <c r="K212" s="391">
        <v>625.21756578947361</v>
      </c>
      <c r="L212" s="391">
        <v>625.21756578947361</v>
      </c>
      <c r="M212" s="391">
        <v>625.21756578947361</v>
      </c>
      <c r="N212" s="391">
        <v>625.21756578947361</v>
      </c>
      <c r="O212" s="391">
        <v>625.21756578947361</v>
      </c>
      <c r="P212" s="391">
        <v>625.21756578947361</v>
      </c>
      <c r="Q212" s="391">
        <v>625.21756578947361</v>
      </c>
      <c r="R212" s="400">
        <v>625.21756578947361</v>
      </c>
      <c r="S212" s="400">
        <f t="shared" si="23"/>
        <v>7502.6107894736815</v>
      </c>
    </row>
    <row r="213" spans="1:19" x14ac:dyDescent="0.2">
      <c r="A213" s="219">
        <v>154</v>
      </c>
      <c r="B213" s="36"/>
      <c r="C213" s="9" t="s">
        <v>207</v>
      </c>
      <c r="D213" s="9"/>
      <c r="E213" s="18" t="s">
        <v>177</v>
      </c>
      <c r="F213" s="155" t="s">
        <v>258</v>
      </c>
      <c r="G213" s="429">
        <v>4274.176677631579</v>
      </c>
      <c r="H213" s="391">
        <v>4274.176677631579</v>
      </c>
      <c r="I213" s="391">
        <v>4274.176677631579</v>
      </c>
      <c r="J213" s="391">
        <v>4274.176677631579</v>
      </c>
      <c r="K213" s="391">
        <v>4274.176677631579</v>
      </c>
      <c r="L213" s="391">
        <v>4274.176677631579</v>
      </c>
      <c r="M213" s="391">
        <v>4274.176677631579</v>
      </c>
      <c r="N213" s="391">
        <v>4274.176677631579</v>
      </c>
      <c r="O213" s="391">
        <v>4274.176677631579</v>
      </c>
      <c r="P213" s="391">
        <v>4274.176677631579</v>
      </c>
      <c r="Q213" s="391">
        <v>4274.176677631579</v>
      </c>
      <c r="R213" s="400">
        <v>4274.176677631579</v>
      </c>
      <c r="S213" s="400">
        <f t="shared" si="23"/>
        <v>51290.120131578944</v>
      </c>
    </row>
    <row r="214" spans="1:19" x14ac:dyDescent="0.2">
      <c r="A214" s="219">
        <v>155</v>
      </c>
      <c r="B214" s="36"/>
      <c r="C214" s="9" t="s">
        <v>213</v>
      </c>
      <c r="D214" s="9"/>
      <c r="E214" s="18" t="s">
        <v>214</v>
      </c>
      <c r="F214" s="155" t="s">
        <v>258</v>
      </c>
      <c r="G214" s="429">
        <v>1758.7439903846155</v>
      </c>
      <c r="H214" s="391">
        <v>1758.7439903846155</v>
      </c>
      <c r="I214" s="391">
        <v>1758.7439903846155</v>
      </c>
      <c r="J214" s="391">
        <v>1758.7439903846155</v>
      </c>
      <c r="K214" s="391">
        <v>1758.7439903846155</v>
      </c>
      <c r="L214" s="391">
        <v>1758.7439903846155</v>
      </c>
      <c r="M214" s="391">
        <v>1758.7439903846155</v>
      </c>
      <c r="N214" s="391">
        <v>1758.7439903846155</v>
      </c>
      <c r="O214" s="391">
        <v>1758.7439903846155</v>
      </c>
      <c r="P214" s="391">
        <v>1758.7439903846155</v>
      </c>
      <c r="Q214" s="391">
        <v>1758.7439903846155</v>
      </c>
      <c r="R214" s="400">
        <v>1758.7439903846155</v>
      </c>
      <c r="S214" s="400">
        <f t="shared" si="23"/>
        <v>21104.92788461539</v>
      </c>
    </row>
    <row r="215" spans="1:19" x14ac:dyDescent="0.2">
      <c r="A215" s="219">
        <v>156</v>
      </c>
      <c r="B215" s="36"/>
      <c r="C215" s="9" t="s">
        <v>265</v>
      </c>
      <c r="D215" s="9"/>
      <c r="E215" s="18" t="s">
        <v>246</v>
      </c>
      <c r="F215" s="155" t="s">
        <v>258</v>
      </c>
      <c r="G215" s="429">
        <v>127.93492445054945</v>
      </c>
      <c r="H215" s="391">
        <v>127.93492445054945</v>
      </c>
      <c r="I215" s="391">
        <v>127.93492445054945</v>
      </c>
      <c r="J215" s="391">
        <v>127.93492445054945</v>
      </c>
      <c r="K215" s="391">
        <v>127.93492445054945</v>
      </c>
      <c r="L215" s="391">
        <v>127.93492445054945</v>
      </c>
      <c r="M215" s="391">
        <v>127.93492445054945</v>
      </c>
      <c r="N215" s="391">
        <v>127.93492445054945</v>
      </c>
      <c r="O215" s="391">
        <v>127.93492445054945</v>
      </c>
      <c r="P215" s="391">
        <v>127.93492445054945</v>
      </c>
      <c r="Q215" s="391">
        <v>127.93492445054945</v>
      </c>
      <c r="R215" s="400">
        <v>127.93492445054945</v>
      </c>
      <c r="S215" s="400">
        <f t="shared" si="23"/>
        <v>1535.2190934065936</v>
      </c>
    </row>
    <row r="216" spans="1:19" x14ac:dyDescent="0.2">
      <c r="A216" s="219">
        <v>157</v>
      </c>
      <c r="B216" s="36"/>
      <c r="C216" s="9" t="s">
        <v>182</v>
      </c>
      <c r="D216" s="9"/>
      <c r="E216" s="18" t="s">
        <v>183</v>
      </c>
      <c r="F216" s="155" t="s">
        <v>258</v>
      </c>
      <c r="G216" s="429">
        <v>0</v>
      </c>
      <c r="H216" s="391">
        <v>0</v>
      </c>
      <c r="I216" s="391">
        <v>0</v>
      </c>
      <c r="J216" s="391">
        <v>0</v>
      </c>
      <c r="K216" s="391">
        <v>0</v>
      </c>
      <c r="L216" s="391">
        <v>0</v>
      </c>
      <c r="M216" s="391">
        <v>0</v>
      </c>
      <c r="N216" s="391">
        <v>0</v>
      </c>
      <c r="O216" s="391">
        <v>0</v>
      </c>
      <c r="P216" s="391">
        <v>0</v>
      </c>
      <c r="Q216" s="391">
        <v>0</v>
      </c>
      <c r="R216" s="400">
        <v>0</v>
      </c>
      <c r="S216" s="400">
        <f t="shared" si="23"/>
        <v>0</v>
      </c>
    </row>
    <row r="217" spans="1:19" x14ac:dyDescent="0.2">
      <c r="A217" s="219">
        <v>158</v>
      </c>
      <c r="B217" s="36"/>
      <c r="C217" s="9" t="s">
        <v>184</v>
      </c>
      <c r="D217" s="9"/>
      <c r="E217" s="18" t="s">
        <v>185</v>
      </c>
      <c r="F217" s="155" t="s">
        <v>266</v>
      </c>
      <c r="G217" s="429">
        <v>0</v>
      </c>
      <c r="H217" s="391">
        <v>1230.8399999999999</v>
      </c>
      <c r="I217" s="391">
        <v>1230.8399999999999</v>
      </c>
      <c r="J217" s="391">
        <v>1230.8399999999999</v>
      </c>
      <c r="K217" s="391">
        <v>1230.8399999999999</v>
      </c>
      <c r="L217" s="391">
        <v>1230.8399999999999</v>
      </c>
      <c r="M217" s="391">
        <v>1230.8399999999999</v>
      </c>
      <c r="N217" s="391">
        <v>1230.8399999999999</v>
      </c>
      <c r="O217" s="391">
        <v>1230.8399999999999</v>
      </c>
      <c r="P217" s="391">
        <v>1230.8399999999999</v>
      </c>
      <c r="Q217" s="391">
        <v>1230.8399999999999</v>
      </c>
      <c r="R217" s="400">
        <v>1230.8399999999999</v>
      </c>
      <c r="S217" s="400">
        <f t="shared" si="23"/>
        <v>13539.24</v>
      </c>
    </row>
    <row r="218" spans="1:19" x14ac:dyDescent="0.2">
      <c r="A218" s="219">
        <v>159</v>
      </c>
      <c r="B218" s="36"/>
      <c r="C218" s="9" t="s">
        <v>186</v>
      </c>
      <c r="D218" s="9"/>
      <c r="E218" s="18" t="s">
        <v>187</v>
      </c>
      <c r="F218" s="155" t="s">
        <v>266</v>
      </c>
      <c r="G218" s="429">
        <v>1330.4166666666667</v>
      </c>
      <c r="H218" s="391">
        <v>1330.4166666666667</v>
      </c>
      <c r="I218" s="391">
        <v>1330.4166666666667</v>
      </c>
      <c r="J218" s="391">
        <v>1330.4166666666667</v>
      </c>
      <c r="K218" s="391">
        <v>1330.4166666666667</v>
      </c>
      <c r="L218" s="391">
        <v>1330.4166666666667</v>
      </c>
      <c r="M218" s="391">
        <v>1330.4166666666667</v>
      </c>
      <c r="N218" s="391">
        <v>1330.4166666666667</v>
      </c>
      <c r="O218" s="391">
        <v>1330.4166666666667</v>
      </c>
      <c r="P218" s="391">
        <v>1330.4166666666667</v>
      </c>
      <c r="Q218" s="391">
        <v>1330.4166666666667</v>
      </c>
      <c r="R218" s="400">
        <v>1330.4166666666667</v>
      </c>
      <c r="S218" s="400">
        <f t="shared" si="23"/>
        <v>15964.999999999998</v>
      </c>
    </row>
    <row r="219" spans="1:19" x14ac:dyDescent="0.2">
      <c r="A219" s="219">
        <v>160</v>
      </c>
      <c r="B219" s="36"/>
      <c r="C219" s="9" t="s">
        <v>188</v>
      </c>
      <c r="D219" s="9"/>
      <c r="E219" s="18" t="s">
        <v>189</v>
      </c>
      <c r="F219" s="155" t="s">
        <v>266</v>
      </c>
      <c r="G219" s="429">
        <v>311.14583333333331</v>
      </c>
      <c r="H219" s="391">
        <v>311.14583333333331</v>
      </c>
      <c r="I219" s="391">
        <v>311.14583333333331</v>
      </c>
      <c r="J219" s="391">
        <v>311.14583333333331</v>
      </c>
      <c r="K219" s="391">
        <v>311.14583333333331</v>
      </c>
      <c r="L219" s="391">
        <v>311.14583333333331</v>
      </c>
      <c r="M219" s="391">
        <v>311.14583333333331</v>
      </c>
      <c r="N219" s="391">
        <v>311.14583333333331</v>
      </c>
      <c r="O219" s="391">
        <v>311.14583333333331</v>
      </c>
      <c r="P219" s="391">
        <v>311.14583333333331</v>
      </c>
      <c r="Q219" s="391">
        <v>311.14583333333331</v>
      </c>
      <c r="R219" s="400">
        <v>311.14583333333331</v>
      </c>
      <c r="S219" s="400">
        <f t="shared" si="23"/>
        <v>3733.7500000000005</v>
      </c>
    </row>
    <row r="220" spans="1:19" x14ac:dyDescent="0.2">
      <c r="A220" s="219">
        <v>161</v>
      </c>
      <c r="B220" s="36"/>
      <c r="C220" s="9" t="s">
        <v>190</v>
      </c>
      <c r="D220" s="9"/>
      <c r="E220" s="18" t="s">
        <v>191</v>
      </c>
      <c r="F220" s="155" t="s">
        <v>266</v>
      </c>
      <c r="G220" s="429">
        <v>1072.9166666666667</v>
      </c>
      <c r="H220" s="391">
        <v>1072.9166666666667</v>
      </c>
      <c r="I220" s="391">
        <v>1072.9166666666667</v>
      </c>
      <c r="J220" s="391">
        <v>1072.9166666666667</v>
      </c>
      <c r="K220" s="391">
        <v>1072.9166666666667</v>
      </c>
      <c r="L220" s="391">
        <v>1072.9166666666667</v>
      </c>
      <c r="M220" s="391">
        <v>1072.9166666666667</v>
      </c>
      <c r="N220" s="391">
        <v>1072.9166666666667</v>
      </c>
      <c r="O220" s="391">
        <v>1072.9166666666667</v>
      </c>
      <c r="P220" s="391">
        <v>1072.9166666666667</v>
      </c>
      <c r="Q220" s="391">
        <v>1072.9166666666667</v>
      </c>
      <c r="R220" s="400">
        <v>1072.9166666666667</v>
      </c>
      <c r="S220" s="400">
        <f t="shared" si="23"/>
        <v>12874.999999999998</v>
      </c>
    </row>
    <row r="221" spans="1:19" x14ac:dyDescent="0.2">
      <c r="A221" s="219">
        <v>162</v>
      </c>
      <c r="B221" s="36"/>
      <c r="C221" s="9" t="s">
        <v>192</v>
      </c>
      <c r="D221" s="9"/>
      <c r="E221" s="18" t="s">
        <v>193</v>
      </c>
      <c r="F221" s="155" t="s">
        <v>266</v>
      </c>
      <c r="G221" s="429">
        <v>0</v>
      </c>
      <c r="H221" s="391">
        <v>0</v>
      </c>
      <c r="I221" s="391">
        <v>0</v>
      </c>
      <c r="J221" s="391">
        <v>0</v>
      </c>
      <c r="K221" s="391">
        <v>0</v>
      </c>
      <c r="L221" s="391">
        <v>0</v>
      </c>
      <c r="M221" s="391">
        <v>0</v>
      </c>
      <c r="N221" s="391">
        <v>0</v>
      </c>
      <c r="O221" s="391">
        <v>0</v>
      </c>
      <c r="P221" s="391">
        <v>0</v>
      </c>
      <c r="Q221" s="391">
        <v>0</v>
      </c>
      <c r="R221" s="400">
        <v>0</v>
      </c>
      <c r="S221" s="400">
        <f t="shared" si="23"/>
        <v>0</v>
      </c>
    </row>
    <row r="222" spans="1:19" x14ac:dyDescent="0.2">
      <c r="A222" s="219">
        <v>163</v>
      </c>
      <c r="B222" s="36"/>
      <c r="C222" s="9" t="s">
        <v>194</v>
      </c>
      <c r="D222" s="9"/>
      <c r="E222" s="18" t="s">
        <v>195</v>
      </c>
      <c r="F222" s="155" t="s">
        <v>266</v>
      </c>
      <c r="G222" s="429">
        <v>0</v>
      </c>
      <c r="H222" s="391">
        <v>0</v>
      </c>
      <c r="I222" s="391">
        <v>0</v>
      </c>
      <c r="J222" s="391">
        <v>0</v>
      </c>
      <c r="K222" s="391">
        <v>0</v>
      </c>
      <c r="L222" s="391">
        <v>0</v>
      </c>
      <c r="M222" s="391">
        <v>0</v>
      </c>
      <c r="N222" s="391">
        <v>0</v>
      </c>
      <c r="O222" s="391">
        <v>0</v>
      </c>
      <c r="P222" s="391">
        <v>0</v>
      </c>
      <c r="Q222" s="391">
        <v>0</v>
      </c>
      <c r="R222" s="400">
        <v>0</v>
      </c>
      <c r="S222" s="400">
        <f t="shared" si="23"/>
        <v>0</v>
      </c>
    </row>
    <row r="223" spans="1:19" x14ac:dyDescent="0.2">
      <c r="A223" s="219">
        <v>164</v>
      </c>
      <c r="B223" s="36"/>
      <c r="C223" s="85" t="s">
        <v>196</v>
      </c>
      <c r="D223" s="9"/>
      <c r="E223" s="18"/>
      <c r="F223" s="155"/>
      <c r="G223" s="429">
        <v>0</v>
      </c>
      <c r="H223" s="391">
        <v>0</v>
      </c>
      <c r="I223" s="391">
        <v>0</v>
      </c>
      <c r="J223" s="391">
        <v>0</v>
      </c>
      <c r="K223" s="391">
        <v>0</v>
      </c>
      <c r="L223" s="391">
        <v>0</v>
      </c>
      <c r="M223" s="391">
        <v>0</v>
      </c>
      <c r="N223" s="391">
        <v>0</v>
      </c>
      <c r="O223" s="391">
        <v>0</v>
      </c>
      <c r="P223" s="391">
        <v>0</v>
      </c>
      <c r="Q223" s="391">
        <v>0</v>
      </c>
      <c r="R223" s="400">
        <v>0</v>
      </c>
      <c r="S223" s="400">
        <f t="shared" si="23"/>
        <v>0</v>
      </c>
    </row>
    <row r="224" spans="1:19" x14ac:dyDescent="0.2">
      <c r="A224" s="219">
        <v>165</v>
      </c>
      <c r="B224" s="36"/>
      <c r="C224" s="85"/>
      <c r="D224" s="9"/>
      <c r="E224" s="18"/>
      <c r="F224" s="155"/>
      <c r="G224" s="429">
        <v>0</v>
      </c>
      <c r="H224" s="391">
        <v>0</v>
      </c>
      <c r="I224" s="391">
        <v>0</v>
      </c>
      <c r="J224" s="391">
        <v>0</v>
      </c>
      <c r="K224" s="391">
        <v>0</v>
      </c>
      <c r="L224" s="391">
        <v>0</v>
      </c>
      <c r="M224" s="391">
        <v>0</v>
      </c>
      <c r="N224" s="391">
        <v>0</v>
      </c>
      <c r="O224" s="391">
        <v>0</v>
      </c>
      <c r="P224" s="391">
        <v>0</v>
      </c>
      <c r="Q224" s="391">
        <v>0</v>
      </c>
      <c r="R224" s="400">
        <v>0</v>
      </c>
      <c r="S224" s="400">
        <f t="shared" si="23"/>
        <v>0</v>
      </c>
    </row>
    <row r="225" spans="1:19" x14ac:dyDescent="0.2">
      <c r="A225" s="219">
        <v>166</v>
      </c>
      <c r="B225" s="83"/>
      <c r="D225" s="13"/>
      <c r="E225" s="14"/>
      <c r="F225" s="163"/>
      <c r="G225" s="429">
        <v>0</v>
      </c>
      <c r="H225" s="412">
        <v>0</v>
      </c>
      <c r="I225" s="412">
        <v>0</v>
      </c>
      <c r="J225" s="412">
        <v>0</v>
      </c>
      <c r="K225" s="412">
        <v>0</v>
      </c>
      <c r="L225" s="412">
        <v>0</v>
      </c>
      <c r="M225" s="412">
        <v>0</v>
      </c>
      <c r="N225" s="412">
        <v>0</v>
      </c>
      <c r="O225" s="412">
        <v>0</v>
      </c>
      <c r="P225" s="412">
        <v>0</v>
      </c>
      <c r="Q225" s="412">
        <v>0</v>
      </c>
      <c r="R225" s="413">
        <v>0</v>
      </c>
      <c r="S225" s="400">
        <f t="shared" si="23"/>
        <v>0</v>
      </c>
    </row>
    <row r="226" spans="1:19" ht="15" x14ac:dyDescent="0.25">
      <c r="A226" s="220">
        <v>167</v>
      </c>
      <c r="B226" s="87" t="s">
        <v>267</v>
      </c>
      <c r="C226" s="51"/>
      <c r="D226" s="51"/>
      <c r="E226" s="49"/>
      <c r="F226" s="159"/>
      <c r="G226" s="438">
        <f t="shared" ref="G226:S226" si="24">SUM(G205:G225)</f>
        <v>45555.601825838639</v>
      </c>
      <c r="H226" s="415">
        <f t="shared" si="24"/>
        <v>46786.441825838636</v>
      </c>
      <c r="I226" s="415">
        <f t="shared" si="24"/>
        <v>46786.441825838636</v>
      </c>
      <c r="J226" s="415">
        <f t="shared" si="24"/>
        <v>46786.441825838636</v>
      </c>
      <c r="K226" s="415">
        <f t="shared" si="24"/>
        <v>46786.441825838636</v>
      </c>
      <c r="L226" s="415">
        <f t="shared" si="24"/>
        <v>46786.441825838636</v>
      </c>
      <c r="M226" s="415">
        <f t="shared" si="24"/>
        <v>46786.441825838636</v>
      </c>
      <c r="N226" s="415">
        <f t="shared" si="24"/>
        <v>46786.441825838636</v>
      </c>
      <c r="O226" s="415">
        <f t="shared" si="24"/>
        <v>46786.441825838636</v>
      </c>
      <c r="P226" s="415">
        <f t="shared" si="24"/>
        <v>46786.441825838636</v>
      </c>
      <c r="Q226" s="415">
        <f t="shared" si="24"/>
        <v>46786.441825838636</v>
      </c>
      <c r="R226" s="402">
        <f t="shared" si="24"/>
        <v>46786.441825838636</v>
      </c>
      <c r="S226" s="402">
        <f t="shared" si="24"/>
        <v>560206.46191006363</v>
      </c>
    </row>
    <row r="227" spans="1:19" ht="6.75" customHeight="1" x14ac:dyDescent="0.2">
      <c r="A227" s="224"/>
      <c r="B227" s="35"/>
      <c r="C227" s="12"/>
      <c r="D227" s="12"/>
      <c r="E227" s="16"/>
      <c r="F227" s="167"/>
      <c r="G227" s="444"/>
      <c r="H227" s="417"/>
      <c r="I227" s="417"/>
      <c r="J227" s="417"/>
      <c r="K227" s="417"/>
      <c r="L227" s="417"/>
      <c r="M227" s="417"/>
      <c r="N227" s="417"/>
      <c r="O227" s="417"/>
      <c r="P227" s="417"/>
      <c r="Q227" s="417"/>
      <c r="R227" s="418"/>
      <c r="S227" s="418"/>
    </row>
    <row r="228" spans="1:19" s="4" customFormat="1" ht="15" x14ac:dyDescent="0.25">
      <c r="A228" s="219"/>
      <c r="B228" s="88" t="s">
        <v>268</v>
      </c>
      <c r="C228" s="53"/>
      <c r="D228" s="53"/>
      <c r="E228" s="63"/>
      <c r="F228" s="164"/>
      <c r="G228" s="141"/>
      <c r="H228" s="142"/>
      <c r="I228" s="142"/>
      <c r="J228" s="142"/>
      <c r="K228" s="142"/>
      <c r="L228" s="142"/>
      <c r="M228" s="142"/>
      <c r="N228" s="142"/>
      <c r="O228" s="142"/>
      <c r="P228" s="142"/>
      <c r="Q228" s="142"/>
      <c r="R228" s="143"/>
      <c r="S228" s="143"/>
    </row>
    <row r="229" spans="1:19" x14ac:dyDescent="0.2">
      <c r="A229" s="219"/>
      <c r="B229" s="36">
        <v>90</v>
      </c>
      <c r="C229" s="9" t="s">
        <v>269</v>
      </c>
      <c r="D229" s="9"/>
      <c r="E229" s="67"/>
      <c r="F229" s="168"/>
      <c r="G229" s="445"/>
      <c r="H229" s="419"/>
      <c r="I229" s="419"/>
      <c r="J229" s="419"/>
      <c r="K229" s="419"/>
      <c r="L229" s="419"/>
      <c r="M229" s="419"/>
      <c r="N229" s="419"/>
      <c r="O229" s="419"/>
      <c r="P229" s="419"/>
      <c r="Q229" s="419"/>
      <c r="R229" s="420"/>
      <c r="S229" s="420"/>
    </row>
    <row r="230" spans="1:19" x14ac:dyDescent="0.2">
      <c r="A230" s="219"/>
      <c r="B230" s="36"/>
      <c r="C230" s="9" t="s">
        <v>270</v>
      </c>
      <c r="D230" s="9"/>
      <c r="E230" s="71"/>
      <c r="F230" s="153"/>
      <c r="G230" s="436"/>
      <c r="H230" s="385"/>
      <c r="I230" s="385"/>
      <c r="J230" s="385"/>
      <c r="K230" s="385"/>
      <c r="L230" s="385"/>
      <c r="M230" s="385"/>
      <c r="N230" s="385"/>
      <c r="O230" s="385"/>
      <c r="P230" s="385"/>
      <c r="Q230" s="385"/>
      <c r="R230" s="398"/>
      <c r="S230" s="398"/>
    </row>
    <row r="231" spans="1:19" x14ac:dyDescent="0.2">
      <c r="A231" s="219">
        <v>168</v>
      </c>
      <c r="B231" s="36"/>
      <c r="C231" s="9" t="s">
        <v>271</v>
      </c>
      <c r="D231" s="9" t="s">
        <v>160</v>
      </c>
      <c r="E231" s="18" t="s">
        <v>272</v>
      </c>
      <c r="F231" s="155" t="s">
        <v>273</v>
      </c>
      <c r="G231" s="429">
        <v>3333.3333333333335</v>
      </c>
      <c r="H231" s="391">
        <v>3333.3333333333335</v>
      </c>
      <c r="I231" s="391">
        <v>3333.3333333333335</v>
      </c>
      <c r="J231" s="391">
        <v>3333.3333333333335</v>
      </c>
      <c r="K231" s="391">
        <v>3333.3333333333335</v>
      </c>
      <c r="L231" s="391">
        <v>3333.3333333333335</v>
      </c>
      <c r="M231" s="391">
        <v>3333.3333333333335</v>
      </c>
      <c r="N231" s="391">
        <v>3333.3333333333335</v>
      </c>
      <c r="O231" s="391">
        <v>3333.3333333333335</v>
      </c>
      <c r="P231" s="391">
        <v>3333.3333333333335</v>
      </c>
      <c r="Q231" s="391">
        <v>3333.3333333333335</v>
      </c>
      <c r="R231" s="400">
        <v>3333.3333333333335</v>
      </c>
      <c r="S231" s="400">
        <f t="shared" ref="S231:S250" si="25">SUM(G231:R231)</f>
        <v>40000</v>
      </c>
    </row>
    <row r="232" spans="1:19" x14ac:dyDescent="0.2">
      <c r="A232" s="219">
        <v>169</v>
      </c>
      <c r="B232" s="36"/>
      <c r="C232" s="9"/>
      <c r="D232" s="9" t="s">
        <v>168</v>
      </c>
      <c r="E232" s="18" t="s">
        <v>169</v>
      </c>
      <c r="F232" s="155" t="s">
        <v>274</v>
      </c>
      <c r="G232" s="429">
        <v>2121.5985374493926</v>
      </c>
      <c r="H232" s="391">
        <v>2121.5985374493926</v>
      </c>
      <c r="I232" s="391">
        <v>2121.5985374493926</v>
      </c>
      <c r="J232" s="391">
        <v>2121.5985374493926</v>
      </c>
      <c r="K232" s="391">
        <v>2121.5985374493926</v>
      </c>
      <c r="L232" s="391">
        <v>2121.5985374493926</v>
      </c>
      <c r="M232" s="391">
        <v>2121.5985374493926</v>
      </c>
      <c r="N232" s="391">
        <v>2121.5985374493926</v>
      </c>
      <c r="O232" s="391">
        <v>2121.5985374493926</v>
      </c>
      <c r="P232" s="391">
        <v>2121.5985374493926</v>
      </c>
      <c r="Q232" s="391">
        <v>2121.5985374493926</v>
      </c>
      <c r="R232" s="400">
        <v>2121.5985374493926</v>
      </c>
      <c r="S232" s="400">
        <f t="shared" si="25"/>
        <v>25459.182449392716</v>
      </c>
    </row>
    <row r="233" spans="1:19" x14ac:dyDescent="0.2">
      <c r="A233" s="219">
        <v>170</v>
      </c>
      <c r="B233" s="36"/>
      <c r="C233" s="9"/>
      <c r="D233" s="9" t="s">
        <v>276</v>
      </c>
      <c r="E233" s="18" t="s">
        <v>277</v>
      </c>
      <c r="F233" s="155" t="s">
        <v>274</v>
      </c>
      <c r="G233" s="429">
        <v>76.039291437728934</v>
      </c>
      <c r="H233" s="391">
        <v>76.039291437728934</v>
      </c>
      <c r="I233" s="391">
        <v>76.039291437728934</v>
      </c>
      <c r="J233" s="391">
        <v>76.039291437728934</v>
      </c>
      <c r="K233" s="391">
        <v>76.039291437728934</v>
      </c>
      <c r="L233" s="391">
        <v>76.039291437728934</v>
      </c>
      <c r="M233" s="391">
        <v>76.039291437728934</v>
      </c>
      <c r="N233" s="391">
        <v>76.039291437728934</v>
      </c>
      <c r="O233" s="391">
        <v>76.039291437728934</v>
      </c>
      <c r="P233" s="391">
        <v>76.039291437728934</v>
      </c>
      <c r="Q233" s="391">
        <v>76.039291437728934</v>
      </c>
      <c r="R233" s="400">
        <v>76.039291437728934</v>
      </c>
      <c r="S233" s="400">
        <f t="shared" si="25"/>
        <v>912.47149725274721</v>
      </c>
    </row>
    <row r="234" spans="1:19" x14ac:dyDescent="0.2">
      <c r="A234" s="219">
        <v>171</v>
      </c>
      <c r="B234" s="36"/>
      <c r="C234" s="9"/>
      <c r="D234" s="9" t="s">
        <v>171</v>
      </c>
      <c r="E234" s="18" t="s">
        <v>172</v>
      </c>
      <c r="F234" s="155" t="s">
        <v>274</v>
      </c>
      <c r="G234" s="429">
        <v>0</v>
      </c>
      <c r="H234" s="391">
        <v>0</v>
      </c>
      <c r="I234" s="391">
        <v>0</v>
      </c>
      <c r="J234" s="391">
        <v>0</v>
      </c>
      <c r="K234" s="391">
        <v>0</v>
      </c>
      <c r="L234" s="391">
        <v>0</v>
      </c>
      <c r="M234" s="391">
        <v>0</v>
      </c>
      <c r="N234" s="391">
        <v>0</v>
      </c>
      <c r="O234" s="391">
        <v>0</v>
      </c>
      <c r="P234" s="391">
        <v>0</v>
      </c>
      <c r="Q234" s="391">
        <v>0</v>
      </c>
      <c r="R234" s="400">
        <v>0</v>
      </c>
      <c r="S234" s="400">
        <f t="shared" si="25"/>
        <v>0</v>
      </c>
    </row>
    <row r="235" spans="1:19" x14ac:dyDescent="0.2">
      <c r="A235" s="219">
        <v>172</v>
      </c>
      <c r="B235" s="36"/>
      <c r="C235" s="9"/>
      <c r="D235" s="9" t="s">
        <v>260</v>
      </c>
      <c r="E235" s="18" t="s">
        <v>261</v>
      </c>
      <c r="F235" s="155" t="s">
        <v>274</v>
      </c>
      <c r="G235" s="429">
        <v>0</v>
      </c>
      <c r="H235" s="391">
        <v>0</v>
      </c>
      <c r="I235" s="391">
        <v>0</v>
      </c>
      <c r="J235" s="391">
        <v>0</v>
      </c>
      <c r="K235" s="391">
        <v>0</v>
      </c>
      <c r="L235" s="391">
        <v>0</v>
      </c>
      <c r="M235" s="391">
        <v>0</v>
      </c>
      <c r="N235" s="391">
        <v>0</v>
      </c>
      <c r="O235" s="391">
        <v>0</v>
      </c>
      <c r="P235" s="391">
        <v>0</v>
      </c>
      <c r="Q235" s="391">
        <v>0</v>
      </c>
      <c r="R235" s="400">
        <v>0</v>
      </c>
      <c r="S235" s="400">
        <f t="shared" si="25"/>
        <v>0</v>
      </c>
    </row>
    <row r="236" spans="1:19" x14ac:dyDescent="0.2">
      <c r="A236" s="219">
        <v>173</v>
      </c>
      <c r="B236" s="36"/>
      <c r="C236" s="9"/>
      <c r="D236" s="9" t="s">
        <v>278</v>
      </c>
      <c r="E236" s="18" t="s">
        <v>264</v>
      </c>
      <c r="F236" s="155" t="s">
        <v>274</v>
      </c>
      <c r="G236" s="429">
        <v>76.472999656593416</v>
      </c>
      <c r="H236" s="391">
        <v>76.472999656593416</v>
      </c>
      <c r="I236" s="391">
        <v>76.472999656593416</v>
      </c>
      <c r="J236" s="391">
        <v>76.472999656593416</v>
      </c>
      <c r="K236" s="391">
        <v>76.472999656593416</v>
      </c>
      <c r="L236" s="391">
        <v>76.472999656593416</v>
      </c>
      <c r="M236" s="391">
        <v>76.472999656593416</v>
      </c>
      <c r="N236" s="391">
        <v>76.472999656593416</v>
      </c>
      <c r="O236" s="391">
        <v>76.472999656593416</v>
      </c>
      <c r="P236" s="391">
        <v>76.472999656593416</v>
      </c>
      <c r="Q236" s="391">
        <v>76.472999656593416</v>
      </c>
      <c r="R236" s="400">
        <v>76.472999656593416</v>
      </c>
      <c r="S236" s="400">
        <f t="shared" si="25"/>
        <v>917.67599587912093</v>
      </c>
    </row>
    <row r="237" spans="1:19" x14ac:dyDescent="0.2">
      <c r="A237" s="219">
        <v>174</v>
      </c>
      <c r="B237" s="36"/>
      <c r="C237" s="9"/>
      <c r="D237" s="9" t="s">
        <v>51</v>
      </c>
      <c r="E237" s="18" t="s">
        <v>243</v>
      </c>
      <c r="F237" s="155" t="s">
        <v>274</v>
      </c>
      <c r="G237" s="429">
        <v>0</v>
      </c>
      <c r="H237" s="391">
        <v>0</v>
      </c>
      <c r="I237" s="391">
        <v>0</v>
      </c>
      <c r="J237" s="391">
        <v>0</v>
      </c>
      <c r="K237" s="391">
        <v>0</v>
      </c>
      <c r="L237" s="391">
        <v>0</v>
      </c>
      <c r="M237" s="391">
        <v>0</v>
      </c>
      <c r="N237" s="391">
        <v>0</v>
      </c>
      <c r="O237" s="391">
        <v>0</v>
      </c>
      <c r="P237" s="391">
        <v>0</v>
      </c>
      <c r="Q237" s="391">
        <v>0</v>
      </c>
      <c r="R237" s="400">
        <v>0</v>
      </c>
      <c r="S237" s="400">
        <f t="shared" si="25"/>
        <v>0</v>
      </c>
    </row>
    <row r="238" spans="1:19" x14ac:dyDescent="0.2">
      <c r="A238" s="219">
        <v>175</v>
      </c>
      <c r="B238" s="36"/>
      <c r="C238" s="9"/>
      <c r="D238" s="9" t="s">
        <v>173</v>
      </c>
      <c r="E238" s="18" t="s">
        <v>174</v>
      </c>
      <c r="F238" s="155" t="s">
        <v>274</v>
      </c>
      <c r="G238" s="429">
        <v>0</v>
      </c>
      <c r="H238" s="391">
        <v>0</v>
      </c>
      <c r="I238" s="391">
        <v>0</v>
      </c>
      <c r="J238" s="391">
        <v>0</v>
      </c>
      <c r="K238" s="391">
        <v>0</v>
      </c>
      <c r="L238" s="391">
        <v>0</v>
      </c>
      <c r="M238" s="391">
        <v>0</v>
      </c>
      <c r="N238" s="391">
        <v>0</v>
      </c>
      <c r="O238" s="391">
        <v>0</v>
      </c>
      <c r="P238" s="391">
        <v>0</v>
      </c>
      <c r="Q238" s="391">
        <v>0</v>
      </c>
      <c r="R238" s="400">
        <v>0</v>
      </c>
      <c r="S238" s="400">
        <f t="shared" si="25"/>
        <v>0</v>
      </c>
    </row>
    <row r="239" spans="1:19" x14ac:dyDescent="0.2">
      <c r="A239" s="219">
        <v>176</v>
      </c>
      <c r="B239" s="36"/>
      <c r="C239" s="9"/>
      <c r="D239" s="9" t="s">
        <v>207</v>
      </c>
      <c r="E239" s="18" t="s">
        <v>177</v>
      </c>
      <c r="F239" s="155" t="s">
        <v>274</v>
      </c>
      <c r="G239" s="429">
        <v>0</v>
      </c>
      <c r="H239" s="391">
        <v>0</v>
      </c>
      <c r="I239" s="391">
        <v>0</v>
      </c>
      <c r="J239" s="391">
        <v>0</v>
      </c>
      <c r="K239" s="391">
        <v>0</v>
      </c>
      <c r="L239" s="391">
        <v>0</v>
      </c>
      <c r="M239" s="391">
        <v>0</v>
      </c>
      <c r="N239" s="391">
        <v>0</v>
      </c>
      <c r="O239" s="391">
        <v>0</v>
      </c>
      <c r="P239" s="391">
        <v>0</v>
      </c>
      <c r="Q239" s="391">
        <v>0</v>
      </c>
      <c r="R239" s="400">
        <v>0</v>
      </c>
      <c r="S239" s="400">
        <f t="shared" si="25"/>
        <v>0</v>
      </c>
    </row>
    <row r="240" spans="1:19" x14ac:dyDescent="0.2">
      <c r="A240" s="219">
        <v>177</v>
      </c>
      <c r="B240" s="36"/>
      <c r="C240" s="9"/>
      <c r="D240" s="9" t="s">
        <v>180</v>
      </c>
      <c r="E240" s="18" t="s">
        <v>181</v>
      </c>
      <c r="F240" s="155" t="s">
        <v>274</v>
      </c>
      <c r="G240" s="429">
        <v>0</v>
      </c>
      <c r="H240" s="391">
        <v>0</v>
      </c>
      <c r="I240" s="391">
        <v>0</v>
      </c>
      <c r="J240" s="391">
        <v>0</v>
      </c>
      <c r="K240" s="391">
        <v>0</v>
      </c>
      <c r="L240" s="391">
        <v>0</v>
      </c>
      <c r="M240" s="391">
        <v>0</v>
      </c>
      <c r="N240" s="391">
        <v>0</v>
      </c>
      <c r="O240" s="391">
        <v>0</v>
      </c>
      <c r="P240" s="391">
        <v>0</v>
      </c>
      <c r="Q240" s="391">
        <v>0</v>
      </c>
      <c r="R240" s="400">
        <v>0</v>
      </c>
      <c r="S240" s="400">
        <f t="shared" si="25"/>
        <v>0</v>
      </c>
    </row>
    <row r="241" spans="1:19" x14ac:dyDescent="0.2">
      <c r="A241" s="219">
        <v>178</v>
      </c>
      <c r="B241" s="36"/>
      <c r="C241" s="9"/>
      <c r="D241" s="9" t="s">
        <v>279</v>
      </c>
      <c r="E241" s="18" t="s">
        <v>280</v>
      </c>
      <c r="F241" s="155" t="s">
        <v>281</v>
      </c>
      <c r="G241" s="429">
        <v>0</v>
      </c>
      <c r="H241" s="391">
        <v>0</v>
      </c>
      <c r="I241" s="391">
        <v>0</v>
      </c>
      <c r="J241" s="391">
        <v>0</v>
      </c>
      <c r="K241" s="391">
        <v>0</v>
      </c>
      <c r="L241" s="391">
        <v>0</v>
      </c>
      <c r="M241" s="391">
        <v>0</v>
      </c>
      <c r="N241" s="391">
        <v>0</v>
      </c>
      <c r="O241" s="391">
        <v>0</v>
      </c>
      <c r="P241" s="391">
        <v>0</v>
      </c>
      <c r="Q241" s="391">
        <v>0</v>
      </c>
      <c r="R241" s="400">
        <v>0</v>
      </c>
      <c r="S241" s="400">
        <f t="shared" si="25"/>
        <v>0</v>
      </c>
    </row>
    <row r="242" spans="1:19" x14ac:dyDescent="0.2">
      <c r="A242" s="219">
        <v>179</v>
      </c>
      <c r="B242" s="36"/>
      <c r="C242" s="9"/>
      <c r="D242" s="9" t="s">
        <v>182</v>
      </c>
      <c r="E242" s="18" t="s">
        <v>183</v>
      </c>
      <c r="F242" s="155" t="s">
        <v>274</v>
      </c>
      <c r="G242" s="429">
        <v>0</v>
      </c>
      <c r="H242" s="391">
        <v>0</v>
      </c>
      <c r="I242" s="391">
        <v>0</v>
      </c>
      <c r="J242" s="391">
        <v>0</v>
      </c>
      <c r="K242" s="391">
        <v>0</v>
      </c>
      <c r="L242" s="391">
        <v>0</v>
      </c>
      <c r="M242" s="391">
        <v>0</v>
      </c>
      <c r="N242" s="391">
        <v>0</v>
      </c>
      <c r="O242" s="391">
        <v>0</v>
      </c>
      <c r="P242" s="391">
        <v>0</v>
      </c>
      <c r="Q242" s="391">
        <v>0</v>
      </c>
      <c r="R242" s="400">
        <v>0</v>
      </c>
      <c r="S242" s="400">
        <f t="shared" si="25"/>
        <v>0</v>
      </c>
    </row>
    <row r="243" spans="1:19" x14ac:dyDescent="0.2">
      <c r="A243" s="219">
        <v>180</v>
      </c>
      <c r="B243" s="36"/>
      <c r="C243" s="9"/>
      <c r="D243" s="9" t="s">
        <v>184</v>
      </c>
      <c r="E243" s="18" t="s">
        <v>185</v>
      </c>
      <c r="F243" s="155" t="s">
        <v>273</v>
      </c>
      <c r="G243" s="429">
        <v>0</v>
      </c>
      <c r="H243" s="391">
        <v>307.70999999999998</v>
      </c>
      <c r="I243" s="391">
        <v>307.70999999999998</v>
      </c>
      <c r="J243" s="391">
        <v>307.70999999999998</v>
      </c>
      <c r="K243" s="391">
        <v>307.70999999999998</v>
      </c>
      <c r="L243" s="391">
        <v>307.70999999999998</v>
      </c>
      <c r="M243" s="391">
        <v>307.70999999999998</v>
      </c>
      <c r="N243" s="391">
        <v>307.70999999999998</v>
      </c>
      <c r="O243" s="391">
        <v>307.70999999999998</v>
      </c>
      <c r="P243" s="391">
        <v>307.70999999999998</v>
      </c>
      <c r="Q243" s="391">
        <v>307.70999999999998</v>
      </c>
      <c r="R243" s="400">
        <v>307.70999999999998</v>
      </c>
      <c r="S243" s="400">
        <f t="shared" si="25"/>
        <v>3384.81</v>
      </c>
    </row>
    <row r="244" spans="1:19" x14ac:dyDescent="0.2">
      <c r="A244" s="219">
        <v>181</v>
      </c>
      <c r="B244" s="36"/>
      <c r="C244" s="9"/>
      <c r="D244" s="9" t="s">
        <v>186</v>
      </c>
      <c r="E244" s="18" t="s">
        <v>187</v>
      </c>
      <c r="F244" s="155" t="s">
        <v>273</v>
      </c>
      <c r="G244" s="429">
        <v>206.66666666666666</v>
      </c>
      <c r="H244" s="391">
        <v>206.66666666666666</v>
      </c>
      <c r="I244" s="391">
        <v>206.66666666666666</v>
      </c>
      <c r="J244" s="391">
        <v>206.66666666666666</v>
      </c>
      <c r="K244" s="391">
        <v>206.66666666666666</v>
      </c>
      <c r="L244" s="391">
        <v>206.66666666666666</v>
      </c>
      <c r="M244" s="391">
        <v>206.66666666666666</v>
      </c>
      <c r="N244" s="391">
        <v>206.66666666666666</v>
      </c>
      <c r="O244" s="391">
        <v>206.66666666666666</v>
      </c>
      <c r="P244" s="391">
        <v>206.66666666666666</v>
      </c>
      <c r="Q244" s="391">
        <v>206.66666666666666</v>
      </c>
      <c r="R244" s="400">
        <v>206.66666666666666</v>
      </c>
      <c r="S244" s="400">
        <f t="shared" si="25"/>
        <v>2480</v>
      </c>
    </row>
    <row r="245" spans="1:19" x14ac:dyDescent="0.2">
      <c r="A245" s="219">
        <v>182</v>
      </c>
      <c r="B245" s="36"/>
      <c r="C245" s="9"/>
      <c r="D245" s="9" t="s">
        <v>188</v>
      </c>
      <c r="E245" s="18" t="s">
        <v>189</v>
      </c>
      <c r="F245" s="155" t="s">
        <v>273</v>
      </c>
      <c r="G245" s="429">
        <v>48.333333333333336</v>
      </c>
      <c r="H245" s="391">
        <v>48.333333333333336</v>
      </c>
      <c r="I245" s="391">
        <v>48.333333333333336</v>
      </c>
      <c r="J245" s="391">
        <v>48.333333333333336</v>
      </c>
      <c r="K245" s="391">
        <v>48.333333333333336</v>
      </c>
      <c r="L245" s="391">
        <v>48.333333333333336</v>
      </c>
      <c r="M245" s="391">
        <v>48.333333333333336</v>
      </c>
      <c r="N245" s="391">
        <v>48.333333333333336</v>
      </c>
      <c r="O245" s="391">
        <v>48.333333333333336</v>
      </c>
      <c r="P245" s="391">
        <v>48.333333333333336</v>
      </c>
      <c r="Q245" s="391">
        <v>48.333333333333336</v>
      </c>
      <c r="R245" s="400">
        <v>48.333333333333336</v>
      </c>
      <c r="S245" s="400">
        <f t="shared" si="25"/>
        <v>580</v>
      </c>
    </row>
    <row r="246" spans="1:19" x14ac:dyDescent="0.2">
      <c r="A246" s="219">
        <v>183</v>
      </c>
      <c r="B246" s="36"/>
      <c r="C246" s="9"/>
      <c r="D246" s="9" t="s">
        <v>190</v>
      </c>
      <c r="E246" s="18" t="s">
        <v>191</v>
      </c>
      <c r="F246" s="155" t="s">
        <v>273</v>
      </c>
      <c r="G246" s="429">
        <v>166.66666666666666</v>
      </c>
      <c r="H246" s="391">
        <v>166.66666666666666</v>
      </c>
      <c r="I246" s="391">
        <v>166.66666666666666</v>
      </c>
      <c r="J246" s="391">
        <v>166.66666666666666</v>
      </c>
      <c r="K246" s="391">
        <v>166.66666666666666</v>
      </c>
      <c r="L246" s="391">
        <v>166.66666666666666</v>
      </c>
      <c r="M246" s="391">
        <v>166.66666666666666</v>
      </c>
      <c r="N246" s="391">
        <v>166.66666666666666</v>
      </c>
      <c r="O246" s="391">
        <v>166.66666666666666</v>
      </c>
      <c r="P246" s="391">
        <v>166.66666666666666</v>
      </c>
      <c r="Q246" s="391">
        <v>166.66666666666666</v>
      </c>
      <c r="R246" s="400">
        <v>166.66666666666666</v>
      </c>
      <c r="S246" s="400">
        <f t="shared" si="25"/>
        <v>2000.0000000000002</v>
      </c>
    </row>
    <row r="247" spans="1:19" x14ac:dyDescent="0.2">
      <c r="A247" s="219">
        <v>184</v>
      </c>
      <c r="B247" s="36"/>
      <c r="C247" s="9"/>
      <c r="D247" s="9" t="s">
        <v>192</v>
      </c>
      <c r="E247" s="18" t="s">
        <v>193</v>
      </c>
      <c r="F247" s="155" t="s">
        <v>273</v>
      </c>
      <c r="G247" s="429">
        <v>0</v>
      </c>
      <c r="H247" s="391">
        <v>0</v>
      </c>
      <c r="I247" s="391">
        <v>0</v>
      </c>
      <c r="J247" s="391">
        <v>0</v>
      </c>
      <c r="K247" s="391">
        <v>0</v>
      </c>
      <c r="L247" s="391">
        <v>0</v>
      </c>
      <c r="M247" s="391">
        <v>0</v>
      </c>
      <c r="N247" s="391">
        <v>0</v>
      </c>
      <c r="O247" s="391">
        <v>0</v>
      </c>
      <c r="P247" s="391">
        <v>0</v>
      </c>
      <c r="Q247" s="391">
        <v>0</v>
      </c>
      <c r="R247" s="400">
        <v>0</v>
      </c>
      <c r="S247" s="400">
        <f t="shared" si="25"/>
        <v>0</v>
      </c>
    </row>
    <row r="248" spans="1:19" x14ac:dyDescent="0.2">
      <c r="A248" s="219">
        <v>185</v>
      </c>
      <c r="B248" s="36"/>
      <c r="C248" s="9"/>
      <c r="D248" s="9" t="s">
        <v>194</v>
      </c>
      <c r="E248" s="18" t="s">
        <v>195</v>
      </c>
      <c r="F248" s="155" t="s">
        <v>273</v>
      </c>
      <c r="G248" s="429">
        <v>0</v>
      </c>
      <c r="H248" s="391">
        <v>0</v>
      </c>
      <c r="I248" s="391">
        <v>0</v>
      </c>
      <c r="J248" s="391">
        <v>0</v>
      </c>
      <c r="K248" s="391">
        <v>0</v>
      </c>
      <c r="L248" s="391">
        <v>0</v>
      </c>
      <c r="M248" s="391">
        <v>0</v>
      </c>
      <c r="N248" s="391">
        <v>0</v>
      </c>
      <c r="O248" s="391">
        <v>0</v>
      </c>
      <c r="P248" s="391">
        <v>0</v>
      </c>
      <c r="Q248" s="391">
        <v>0</v>
      </c>
      <c r="R248" s="400">
        <v>0</v>
      </c>
      <c r="S248" s="400">
        <f t="shared" si="25"/>
        <v>0</v>
      </c>
    </row>
    <row r="249" spans="1:19" x14ac:dyDescent="0.2">
      <c r="A249" s="219">
        <v>186</v>
      </c>
      <c r="B249" s="36"/>
      <c r="C249" s="85"/>
      <c r="D249" s="9"/>
      <c r="E249" s="18"/>
      <c r="F249" s="155"/>
      <c r="G249" s="429">
        <v>0</v>
      </c>
      <c r="H249" s="391">
        <v>0</v>
      </c>
      <c r="I249" s="391">
        <v>0</v>
      </c>
      <c r="J249" s="391">
        <v>0</v>
      </c>
      <c r="K249" s="391">
        <v>0</v>
      </c>
      <c r="L249" s="391">
        <v>0</v>
      </c>
      <c r="M249" s="391">
        <v>0</v>
      </c>
      <c r="N249" s="391">
        <v>0</v>
      </c>
      <c r="O249" s="391">
        <v>0</v>
      </c>
      <c r="P249" s="391">
        <v>0</v>
      </c>
      <c r="Q249" s="391">
        <v>0</v>
      </c>
      <c r="R249" s="400">
        <v>0</v>
      </c>
      <c r="S249" s="400">
        <f t="shared" si="25"/>
        <v>0</v>
      </c>
    </row>
    <row r="250" spans="1:19" x14ac:dyDescent="0.2">
      <c r="A250" s="219">
        <v>187</v>
      </c>
      <c r="B250" s="83"/>
      <c r="D250" s="13"/>
      <c r="E250" s="14"/>
      <c r="F250" s="163"/>
      <c r="G250" s="429">
        <v>0</v>
      </c>
      <c r="H250" s="412">
        <v>0</v>
      </c>
      <c r="I250" s="412">
        <v>0</v>
      </c>
      <c r="J250" s="412">
        <v>0</v>
      </c>
      <c r="K250" s="412">
        <v>0</v>
      </c>
      <c r="L250" s="412">
        <v>0</v>
      </c>
      <c r="M250" s="412">
        <v>0</v>
      </c>
      <c r="N250" s="412">
        <v>0</v>
      </c>
      <c r="O250" s="412">
        <v>0</v>
      </c>
      <c r="P250" s="412">
        <v>0</v>
      </c>
      <c r="Q250" s="412">
        <v>0</v>
      </c>
      <c r="R250" s="413">
        <v>0</v>
      </c>
      <c r="S250" s="400">
        <f t="shared" si="25"/>
        <v>0</v>
      </c>
    </row>
    <row r="251" spans="1:19" x14ac:dyDescent="0.2">
      <c r="A251" s="220">
        <v>188</v>
      </c>
      <c r="B251" s="87" t="s">
        <v>282</v>
      </c>
      <c r="C251" s="6"/>
      <c r="D251" s="6"/>
      <c r="E251" s="49"/>
      <c r="F251" s="159"/>
      <c r="G251" s="438">
        <f t="shared" ref="G251:S251" si="26">SUM(G231:G250)</f>
        <v>6029.1108285437158</v>
      </c>
      <c r="H251" s="415">
        <f t="shared" si="26"/>
        <v>6336.8208285437158</v>
      </c>
      <c r="I251" s="415">
        <f t="shared" si="26"/>
        <v>6336.8208285437158</v>
      </c>
      <c r="J251" s="415">
        <f t="shared" si="26"/>
        <v>6336.8208285437158</v>
      </c>
      <c r="K251" s="415">
        <f t="shared" si="26"/>
        <v>6336.8208285437158</v>
      </c>
      <c r="L251" s="415">
        <f t="shared" si="26"/>
        <v>6336.8208285437158</v>
      </c>
      <c r="M251" s="415">
        <f t="shared" si="26"/>
        <v>6336.8208285437158</v>
      </c>
      <c r="N251" s="415">
        <f t="shared" si="26"/>
        <v>6336.8208285437158</v>
      </c>
      <c r="O251" s="415">
        <f t="shared" si="26"/>
        <v>6336.8208285437158</v>
      </c>
      <c r="P251" s="415">
        <f t="shared" si="26"/>
        <v>6336.8208285437158</v>
      </c>
      <c r="Q251" s="415">
        <f t="shared" si="26"/>
        <v>6336.8208285437158</v>
      </c>
      <c r="R251" s="402">
        <f t="shared" si="26"/>
        <v>6336.8208285437158</v>
      </c>
      <c r="S251" s="402">
        <f t="shared" si="26"/>
        <v>75734.139942524576</v>
      </c>
    </row>
    <row r="252" spans="1:19" x14ac:dyDescent="0.2">
      <c r="A252" s="224"/>
      <c r="B252" s="35"/>
      <c r="C252" s="12"/>
      <c r="D252" s="12"/>
      <c r="E252" s="71"/>
      <c r="F252" s="153"/>
      <c r="G252" s="436"/>
      <c r="H252" s="385"/>
      <c r="I252" s="385"/>
      <c r="J252" s="385"/>
      <c r="K252" s="385"/>
      <c r="L252" s="385"/>
      <c r="M252" s="385"/>
      <c r="N252" s="385"/>
      <c r="O252" s="385"/>
      <c r="P252" s="385"/>
      <c r="Q252" s="385"/>
      <c r="R252" s="398"/>
      <c r="S252" s="398"/>
    </row>
    <row r="253" spans="1:19" s="4" customFormat="1" ht="15" x14ac:dyDescent="0.25">
      <c r="A253" s="219"/>
      <c r="B253" s="88" t="s">
        <v>283</v>
      </c>
      <c r="C253" s="53"/>
      <c r="D253" s="53"/>
      <c r="E253" s="77"/>
      <c r="F253" s="166"/>
      <c r="G253" s="147"/>
      <c r="H253" s="148"/>
      <c r="I253" s="148"/>
      <c r="J253" s="148"/>
      <c r="K253" s="148"/>
      <c r="L253" s="148"/>
      <c r="M253" s="148"/>
      <c r="N253" s="148"/>
      <c r="O253" s="148"/>
      <c r="P253" s="148"/>
      <c r="Q253" s="148"/>
      <c r="R253" s="149"/>
      <c r="S253" s="149"/>
    </row>
    <row r="254" spans="1:19" x14ac:dyDescent="0.2">
      <c r="A254" s="219">
        <v>189</v>
      </c>
      <c r="B254" s="36"/>
      <c r="C254" s="9" t="s">
        <v>284</v>
      </c>
      <c r="D254" s="9"/>
      <c r="E254" s="18" t="s">
        <v>272</v>
      </c>
      <c r="F254" s="155" t="s">
        <v>285</v>
      </c>
      <c r="G254" s="429">
        <v>12083.333333333334</v>
      </c>
      <c r="H254" s="391">
        <v>12083.333333333334</v>
      </c>
      <c r="I254" s="391">
        <v>12083.333333333334</v>
      </c>
      <c r="J254" s="391">
        <v>12083.333333333334</v>
      </c>
      <c r="K254" s="391">
        <v>12083.333333333334</v>
      </c>
      <c r="L254" s="391">
        <v>12083.333333333334</v>
      </c>
      <c r="M254" s="391">
        <v>12083.333333333334</v>
      </c>
      <c r="N254" s="391">
        <v>12083.333333333334</v>
      </c>
      <c r="O254" s="391">
        <v>12083.333333333334</v>
      </c>
      <c r="P254" s="391">
        <v>12083.333333333334</v>
      </c>
      <c r="Q254" s="391">
        <v>12083.333333333334</v>
      </c>
      <c r="R254" s="400">
        <v>12083.333333333334</v>
      </c>
      <c r="S254" s="400">
        <f t="shared" ref="S254:S261" si="27">SUM(G254:R254)</f>
        <v>145000</v>
      </c>
    </row>
    <row r="255" spans="1:19" x14ac:dyDescent="0.2">
      <c r="A255" s="219">
        <v>190</v>
      </c>
      <c r="B255" s="36"/>
      <c r="C255" s="9" t="s">
        <v>168</v>
      </c>
      <c r="D255" s="9"/>
      <c r="E255" s="18" t="s">
        <v>169</v>
      </c>
      <c r="F255" s="155" t="s">
        <v>286</v>
      </c>
      <c r="G255" s="429">
        <v>12284.083333333334</v>
      </c>
      <c r="H255" s="391">
        <v>12284.083333333334</v>
      </c>
      <c r="I255" s="391">
        <v>12284.083333333334</v>
      </c>
      <c r="J255" s="391">
        <v>12284.083333333334</v>
      </c>
      <c r="K255" s="391">
        <v>12284.083333333334</v>
      </c>
      <c r="L255" s="391">
        <v>12284.083333333334</v>
      </c>
      <c r="M255" s="391">
        <v>12284.083333333334</v>
      </c>
      <c r="N255" s="391">
        <v>12284.083333333334</v>
      </c>
      <c r="O255" s="391">
        <v>12284.083333333334</v>
      </c>
      <c r="P255" s="391">
        <v>12284.083333333334</v>
      </c>
      <c r="Q255" s="391">
        <v>12284.083333333334</v>
      </c>
      <c r="R255" s="400">
        <v>12284.083333333334</v>
      </c>
      <c r="S255" s="400">
        <f t="shared" si="27"/>
        <v>147409</v>
      </c>
    </row>
    <row r="256" spans="1:19" x14ac:dyDescent="0.2">
      <c r="A256" s="219">
        <v>191</v>
      </c>
      <c r="B256" s="36"/>
      <c r="C256" s="9" t="s">
        <v>260</v>
      </c>
      <c r="D256" s="9"/>
      <c r="E256" s="18" t="s">
        <v>261</v>
      </c>
      <c r="F256" s="155" t="s">
        <v>288</v>
      </c>
      <c r="G256" s="429">
        <v>0</v>
      </c>
      <c r="H256" s="391">
        <v>0</v>
      </c>
      <c r="I256" s="391">
        <v>0</v>
      </c>
      <c r="J256" s="391">
        <v>0</v>
      </c>
      <c r="K256" s="391">
        <v>0</v>
      </c>
      <c r="L256" s="391">
        <v>0</v>
      </c>
      <c r="M256" s="391">
        <v>0</v>
      </c>
      <c r="N256" s="391">
        <v>0</v>
      </c>
      <c r="O256" s="391">
        <v>0</v>
      </c>
      <c r="P256" s="391">
        <v>0</v>
      </c>
      <c r="Q256" s="391">
        <v>0</v>
      </c>
      <c r="R256" s="400">
        <v>0</v>
      </c>
      <c r="S256" s="400">
        <f t="shared" si="27"/>
        <v>0</v>
      </c>
    </row>
    <row r="257" spans="1:19" x14ac:dyDescent="0.2">
      <c r="A257" s="219">
        <v>192</v>
      </c>
      <c r="B257" s="36"/>
      <c r="C257" s="9" t="s">
        <v>289</v>
      </c>
      <c r="D257" s="9"/>
      <c r="E257" s="18" t="s">
        <v>290</v>
      </c>
      <c r="F257" s="155" t="s">
        <v>286</v>
      </c>
      <c r="G257" s="429">
        <v>0</v>
      </c>
      <c r="H257" s="391">
        <v>0</v>
      </c>
      <c r="I257" s="391">
        <v>0</v>
      </c>
      <c r="J257" s="391">
        <v>0</v>
      </c>
      <c r="K257" s="391">
        <v>0</v>
      </c>
      <c r="L257" s="391">
        <v>0</v>
      </c>
      <c r="M257" s="391">
        <v>0</v>
      </c>
      <c r="N257" s="391">
        <v>0</v>
      </c>
      <c r="O257" s="391">
        <v>0</v>
      </c>
      <c r="P257" s="391">
        <v>0</v>
      </c>
      <c r="Q257" s="391">
        <v>0</v>
      </c>
      <c r="R257" s="400">
        <v>0</v>
      </c>
      <c r="S257" s="400">
        <f t="shared" si="27"/>
        <v>0</v>
      </c>
    </row>
    <row r="258" spans="1:19" x14ac:dyDescent="0.2">
      <c r="A258" s="219">
        <v>193</v>
      </c>
      <c r="B258" s="36"/>
      <c r="C258" s="9" t="s">
        <v>207</v>
      </c>
      <c r="D258" s="9"/>
      <c r="E258" s="18" t="s">
        <v>177</v>
      </c>
      <c r="F258" s="155" t="s">
        <v>286</v>
      </c>
      <c r="G258" s="429">
        <v>0</v>
      </c>
      <c r="H258" s="391">
        <v>0</v>
      </c>
      <c r="I258" s="391">
        <v>0</v>
      </c>
      <c r="J258" s="391">
        <v>0</v>
      </c>
      <c r="K258" s="391">
        <v>0</v>
      </c>
      <c r="L258" s="391">
        <v>0</v>
      </c>
      <c r="M258" s="391">
        <v>0</v>
      </c>
      <c r="N258" s="391">
        <v>0</v>
      </c>
      <c r="O258" s="391">
        <v>0</v>
      </c>
      <c r="P258" s="391">
        <v>0</v>
      </c>
      <c r="Q258" s="391">
        <v>0</v>
      </c>
      <c r="R258" s="400">
        <v>0</v>
      </c>
      <c r="S258" s="400">
        <f t="shared" si="27"/>
        <v>0</v>
      </c>
    </row>
    <row r="259" spans="1:19" x14ac:dyDescent="0.2">
      <c r="A259" s="219">
        <v>194</v>
      </c>
      <c r="B259" s="36"/>
      <c r="C259" s="9" t="s">
        <v>291</v>
      </c>
      <c r="D259" s="9"/>
      <c r="E259" s="18" t="s">
        <v>292</v>
      </c>
      <c r="F259" s="155" t="s">
        <v>286</v>
      </c>
      <c r="G259" s="429">
        <v>0</v>
      </c>
      <c r="H259" s="391">
        <v>0</v>
      </c>
      <c r="I259" s="391">
        <v>0</v>
      </c>
      <c r="J259" s="391">
        <v>0</v>
      </c>
      <c r="K259" s="391">
        <v>0</v>
      </c>
      <c r="L259" s="391">
        <v>0</v>
      </c>
      <c r="M259" s="391">
        <v>0</v>
      </c>
      <c r="N259" s="391">
        <v>0</v>
      </c>
      <c r="O259" s="391">
        <v>0</v>
      </c>
      <c r="P259" s="391">
        <v>0</v>
      </c>
      <c r="Q259" s="391">
        <v>0</v>
      </c>
      <c r="R259" s="400">
        <v>0</v>
      </c>
      <c r="S259" s="400">
        <f t="shared" si="27"/>
        <v>0</v>
      </c>
    </row>
    <row r="260" spans="1:19" x14ac:dyDescent="0.2">
      <c r="A260" s="219">
        <v>195</v>
      </c>
      <c r="B260" s="36"/>
      <c r="C260" s="9" t="s">
        <v>180</v>
      </c>
      <c r="D260" s="9"/>
      <c r="E260" s="18" t="s">
        <v>181</v>
      </c>
      <c r="F260" s="155" t="s">
        <v>286</v>
      </c>
      <c r="G260" s="429">
        <v>0</v>
      </c>
      <c r="H260" s="391">
        <v>0</v>
      </c>
      <c r="I260" s="391">
        <v>0</v>
      </c>
      <c r="J260" s="391">
        <v>0</v>
      </c>
      <c r="K260" s="391">
        <v>0</v>
      </c>
      <c r="L260" s="391">
        <v>0</v>
      </c>
      <c r="M260" s="391">
        <v>0</v>
      </c>
      <c r="N260" s="391">
        <v>0</v>
      </c>
      <c r="O260" s="391">
        <v>0</v>
      </c>
      <c r="P260" s="391">
        <v>0</v>
      </c>
      <c r="Q260" s="391">
        <v>0</v>
      </c>
      <c r="R260" s="400">
        <v>0</v>
      </c>
      <c r="S260" s="400">
        <f t="shared" si="27"/>
        <v>0</v>
      </c>
    </row>
    <row r="261" spans="1:19" x14ac:dyDescent="0.2">
      <c r="A261" s="219">
        <v>196</v>
      </c>
      <c r="B261" s="36"/>
      <c r="C261" s="9" t="s">
        <v>182</v>
      </c>
      <c r="D261" s="9"/>
      <c r="E261" s="18" t="s">
        <v>183</v>
      </c>
      <c r="F261" s="155" t="s">
        <v>286</v>
      </c>
      <c r="G261" s="429">
        <v>0</v>
      </c>
      <c r="H261" s="391">
        <v>0</v>
      </c>
      <c r="I261" s="391">
        <v>0</v>
      </c>
      <c r="J261" s="391">
        <v>0</v>
      </c>
      <c r="K261" s="391">
        <v>0</v>
      </c>
      <c r="L261" s="391">
        <v>0</v>
      </c>
      <c r="M261" s="391">
        <v>0</v>
      </c>
      <c r="N261" s="391">
        <v>0</v>
      </c>
      <c r="O261" s="391">
        <v>0</v>
      </c>
      <c r="P261" s="391">
        <v>0</v>
      </c>
      <c r="Q261" s="391">
        <v>0</v>
      </c>
      <c r="R261" s="400">
        <v>0</v>
      </c>
      <c r="S261" s="400">
        <f t="shared" si="27"/>
        <v>0</v>
      </c>
    </row>
    <row r="262" spans="1:19" x14ac:dyDescent="0.2">
      <c r="A262" s="219"/>
      <c r="B262" s="36"/>
      <c r="C262" s="9" t="s">
        <v>293</v>
      </c>
      <c r="D262" s="9"/>
      <c r="E262" s="61"/>
      <c r="F262" s="154"/>
      <c r="G262" s="414"/>
      <c r="H262" s="388"/>
      <c r="I262" s="388"/>
      <c r="J262" s="388"/>
      <c r="K262" s="388"/>
      <c r="L262" s="388"/>
      <c r="M262" s="388"/>
      <c r="N262" s="388"/>
      <c r="O262" s="388"/>
      <c r="P262" s="388"/>
      <c r="Q262" s="388"/>
      <c r="R262" s="399"/>
      <c r="S262" s="399"/>
    </row>
    <row r="263" spans="1:19" x14ac:dyDescent="0.2">
      <c r="A263" s="219">
        <v>197</v>
      </c>
      <c r="B263" s="36"/>
      <c r="C263" s="9"/>
      <c r="D263" s="9" t="s">
        <v>294</v>
      </c>
      <c r="E263" s="18" t="s">
        <v>290</v>
      </c>
      <c r="F263" s="155" t="s">
        <v>295</v>
      </c>
      <c r="G263" s="429">
        <v>0</v>
      </c>
      <c r="H263" s="391">
        <v>0</v>
      </c>
      <c r="I263" s="391">
        <v>0</v>
      </c>
      <c r="J263" s="391">
        <v>0</v>
      </c>
      <c r="K263" s="391">
        <v>0</v>
      </c>
      <c r="L263" s="391">
        <v>0</v>
      </c>
      <c r="M263" s="391">
        <v>0</v>
      </c>
      <c r="N263" s="391">
        <v>0</v>
      </c>
      <c r="O263" s="391">
        <v>0</v>
      </c>
      <c r="P263" s="391">
        <v>0</v>
      </c>
      <c r="Q263" s="391">
        <v>0</v>
      </c>
      <c r="R263" s="400">
        <v>0</v>
      </c>
      <c r="S263" s="400">
        <f t="shared" ref="S263:S282" si="28">SUM(G263:R263)</f>
        <v>0</v>
      </c>
    </row>
    <row r="264" spans="1:19" x14ac:dyDescent="0.2">
      <c r="A264" s="219">
        <v>198</v>
      </c>
      <c r="B264" s="36"/>
      <c r="C264" s="9"/>
      <c r="D264" s="9" t="s">
        <v>296</v>
      </c>
      <c r="E264" s="18" t="s">
        <v>297</v>
      </c>
      <c r="F264" s="155" t="s">
        <v>295</v>
      </c>
      <c r="G264" s="429">
        <v>0</v>
      </c>
      <c r="H264" s="391">
        <v>0</v>
      </c>
      <c r="I264" s="391">
        <v>0</v>
      </c>
      <c r="J264" s="391">
        <v>0</v>
      </c>
      <c r="K264" s="391">
        <v>0</v>
      </c>
      <c r="L264" s="391">
        <v>0</v>
      </c>
      <c r="M264" s="391">
        <v>0</v>
      </c>
      <c r="N264" s="391">
        <v>0</v>
      </c>
      <c r="O264" s="391">
        <v>0</v>
      </c>
      <c r="P264" s="391">
        <v>0</v>
      </c>
      <c r="Q264" s="391">
        <v>0</v>
      </c>
      <c r="R264" s="400">
        <v>0</v>
      </c>
      <c r="S264" s="400">
        <f t="shared" si="28"/>
        <v>0</v>
      </c>
    </row>
    <row r="265" spans="1:19" x14ac:dyDescent="0.2">
      <c r="A265" s="219">
        <v>199</v>
      </c>
      <c r="B265" s="36"/>
      <c r="C265" s="9"/>
      <c r="D265" s="9" t="s">
        <v>298</v>
      </c>
      <c r="E265" s="18" t="s">
        <v>299</v>
      </c>
      <c r="F265" s="155" t="s">
        <v>295</v>
      </c>
      <c r="G265" s="429">
        <v>0</v>
      </c>
      <c r="H265" s="391">
        <v>568.5</v>
      </c>
      <c r="I265" s="391">
        <v>568.5</v>
      </c>
      <c r="J265" s="391">
        <v>568.5</v>
      </c>
      <c r="K265" s="391">
        <v>568.5</v>
      </c>
      <c r="L265" s="391">
        <v>568.5</v>
      </c>
      <c r="M265" s="391">
        <v>568.5</v>
      </c>
      <c r="N265" s="391">
        <v>568.5</v>
      </c>
      <c r="O265" s="391">
        <v>568.5</v>
      </c>
      <c r="P265" s="391">
        <v>568.5</v>
      </c>
      <c r="Q265" s="391">
        <v>568.5</v>
      </c>
      <c r="R265" s="400">
        <v>568.5</v>
      </c>
      <c r="S265" s="400">
        <f t="shared" si="28"/>
        <v>6253.5</v>
      </c>
    </row>
    <row r="266" spans="1:19" x14ac:dyDescent="0.2">
      <c r="A266" s="219">
        <v>200</v>
      </c>
      <c r="B266" s="36"/>
      <c r="C266" s="9"/>
      <c r="D266" s="9" t="s">
        <v>300</v>
      </c>
      <c r="E266" s="18" t="s">
        <v>301</v>
      </c>
      <c r="F266" s="155" t="s">
        <v>295</v>
      </c>
      <c r="G266" s="429">
        <v>0</v>
      </c>
      <c r="H266" s="391">
        <v>15970.5</v>
      </c>
      <c r="I266" s="391">
        <v>15970.5</v>
      </c>
      <c r="J266" s="391">
        <v>15970.5</v>
      </c>
      <c r="K266" s="391">
        <v>15970.5</v>
      </c>
      <c r="L266" s="391">
        <v>15970.5</v>
      </c>
      <c r="M266" s="391">
        <v>15970.5</v>
      </c>
      <c r="N266" s="391">
        <v>15970.5</v>
      </c>
      <c r="O266" s="391">
        <v>15970.5</v>
      </c>
      <c r="P266" s="391">
        <v>15970.5</v>
      </c>
      <c r="Q266" s="391">
        <v>15970.5</v>
      </c>
      <c r="R266" s="400">
        <v>15970.5</v>
      </c>
      <c r="S266" s="400">
        <f t="shared" si="28"/>
        <v>175675.5</v>
      </c>
    </row>
    <row r="267" spans="1:19" x14ac:dyDescent="0.2">
      <c r="A267" s="219">
        <v>201</v>
      </c>
      <c r="B267" s="36"/>
      <c r="C267" s="9"/>
      <c r="D267" s="9" t="s">
        <v>171</v>
      </c>
      <c r="E267" s="18" t="s">
        <v>172</v>
      </c>
      <c r="F267" s="155" t="s">
        <v>295</v>
      </c>
      <c r="G267" s="429">
        <v>0</v>
      </c>
      <c r="H267" s="391">
        <v>16898.916666666668</v>
      </c>
      <c r="I267" s="391">
        <v>16898.916666666668</v>
      </c>
      <c r="J267" s="391">
        <v>16898.916666666668</v>
      </c>
      <c r="K267" s="391">
        <v>16898.916666666668</v>
      </c>
      <c r="L267" s="391">
        <v>16898.916666666668</v>
      </c>
      <c r="M267" s="391">
        <v>16898.916666666668</v>
      </c>
      <c r="N267" s="391">
        <v>16898.916666666668</v>
      </c>
      <c r="O267" s="391">
        <v>16898.916666666668</v>
      </c>
      <c r="P267" s="391">
        <v>16898.916666666668</v>
      </c>
      <c r="Q267" s="391">
        <v>16898.916666666668</v>
      </c>
      <c r="R267" s="400">
        <v>16898.916666666668</v>
      </c>
      <c r="S267" s="400">
        <f t="shared" si="28"/>
        <v>185888.08333333331</v>
      </c>
    </row>
    <row r="268" spans="1:19" x14ac:dyDescent="0.2">
      <c r="A268" s="219">
        <v>202</v>
      </c>
      <c r="B268" s="36"/>
      <c r="C268" s="9"/>
      <c r="D268" s="9" t="s">
        <v>302</v>
      </c>
      <c r="E268" s="18" t="s">
        <v>303</v>
      </c>
      <c r="F268" s="155" t="s">
        <v>295</v>
      </c>
      <c r="G268" s="429">
        <v>0</v>
      </c>
      <c r="H268" s="391">
        <v>5847.333333333333</v>
      </c>
      <c r="I268" s="391">
        <v>5847.333333333333</v>
      </c>
      <c r="J268" s="391">
        <v>5847.333333333333</v>
      </c>
      <c r="K268" s="391">
        <v>5847.333333333333</v>
      </c>
      <c r="L268" s="391">
        <v>5847.333333333333</v>
      </c>
      <c r="M268" s="391">
        <v>5847.333333333333</v>
      </c>
      <c r="N268" s="391">
        <v>5847.333333333333</v>
      </c>
      <c r="O268" s="391">
        <v>5847.333333333333</v>
      </c>
      <c r="P268" s="391">
        <v>5847.333333333333</v>
      </c>
      <c r="Q268" s="391">
        <v>5847.333333333333</v>
      </c>
      <c r="R268" s="400">
        <v>5847.333333333333</v>
      </c>
      <c r="S268" s="400">
        <f t="shared" si="28"/>
        <v>64320.666666666679</v>
      </c>
    </row>
    <row r="269" spans="1:19" x14ac:dyDescent="0.2">
      <c r="A269" s="219">
        <v>203</v>
      </c>
      <c r="B269" s="36"/>
      <c r="C269" s="9"/>
      <c r="D269" s="9" t="s">
        <v>304</v>
      </c>
      <c r="E269" s="18" t="s">
        <v>264</v>
      </c>
      <c r="F269" s="155" t="s">
        <v>295</v>
      </c>
      <c r="G269" s="429">
        <v>0</v>
      </c>
      <c r="H269" s="391">
        <v>5441.166666666667</v>
      </c>
      <c r="I269" s="391">
        <v>5441.166666666667</v>
      </c>
      <c r="J269" s="391">
        <v>5441.166666666667</v>
      </c>
      <c r="K269" s="391">
        <v>5441.166666666667</v>
      </c>
      <c r="L269" s="391">
        <v>5441.166666666667</v>
      </c>
      <c r="M269" s="391">
        <v>5441.166666666667</v>
      </c>
      <c r="N269" s="391">
        <v>5441.166666666667</v>
      </c>
      <c r="O269" s="391">
        <v>5441.166666666667</v>
      </c>
      <c r="P269" s="391">
        <v>5441.166666666667</v>
      </c>
      <c r="Q269" s="391">
        <v>5441.166666666667</v>
      </c>
      <c r="R269" s="400">
        <v>5441.166666666667</v>
      </c>
      <c r="S269" s="400">
        <f t="shared" si="28"/>
        <v>59852.833333333328</v>
      </c>
    </row>
    <row r="270" spans="1:19" x14ac:dyDescent="0.2">
      <c r="A270" s="219">
        <v>204</v>
      </c>
      <c r="B270" s="36"/>
      <c r="C270" s="9"/>
      <c r="D270" s="9" t="s">
        <v>305</v>
      </c>
      <c r="E270" s="18" t="s">
        <v>306</v>
      </c>
      <c r="F270" s="155" t="s">
        <v>295</v>
      </c>
      <c r="G270" s="429">
        <v>0</v>
      </c>
      <c r="H270" s="391">
        <v>19174</v>
      </c>
      <c r="I270" s="391">
        <v>19174</v>
      </c>
      <c r="J270" s="391">
        <v>19174</v>
      </c>
      <c r="K270" s="391">
        <v>19174</v>
      </c>
      <c r="L270" s="391">
        <v>19174</v>
      </c>
      <c r="M270" s="391">
        <v>19174</v>
      </c>
      <c r="N270" s="391">
        <v>19174</v>
      </c>
      <c r="O270" s="391">
        <v>19174</v>
      </c>
      <c r="P270" s="391">
        <v>19174</v>
      </c>
      <c r="Q270" s="391">
        <v>19174</v>
      </c>
      <c r="R270" s="400">
        <v>19174</v>
      </c>
      <c r="S270" s="400">
        <f t="shared" si="28"/>
        <v>210914</v>
      </c>
    </row>
    <row r="271" spans="1:19" x14ac:dyDescent="0.2">
      <c r="A271" s="219">
        <v>205</v>
      </c>
      <c r="B271" s="36"/>
      <c r="C271" s="9" t="s">
        <v>307</v>
      </c>
      <c r="D271" s="9"/>
      <c r="E271" s="18" t="s">
        <v>308</v>
      </c>
      <c r="F271" s="155">
        <v>2630</v>
      </c>
      <c r="G271" s="429">
        <v>0</v>
      </c>
      <c r="H271" s="391">
        <v>0</v>
      </c>
      <c r="I271" s="391">
        <v>0</v>
      </c>
      <c r="J271" s="391">
        <v>0</v>
      </c>
      <c r="K271" s="391">
        <v>0</v>
      </c>
      <c r="L271" s="391">
        <v>0</v>
      </c>
      <c r="M271" s="391">
        <v>0</v>
      </c>
      <c r="N271" s="391">
        <v>0</v>
      </c>
      <c r="O271" s="391">
        <v>0</v>
      </c>
      <c r="P271" s="391">
        <v>0</v>
      </c>
      <c r="Q271" s="391">
        <v>0</v>
      </c>
      <c r="R271" s="400">
        <v>0</v>
      </c>
      <c r="S271" s="400">
        <f t="shared" si="28"/>
        <v>0</v>
      </c>
    </row>
    <row r="272" spans="1:19" x14ac:dyDescent="0.2">
      <c r="A272" s="219">
        <v>206</v>
      </c>
      <c r="B272" s="36"/>
      <c r="C272" s="9" t="s">
        <v>309</v>
      </c>
      <c r="D272" s="9"/>
      <c r="E272" s="18" t="s">
        <v>308</v>
      </c>
      <c r="F272" s="155">
        <v>2640</v>
      </c>
      <c r="G272" s="429">
        <v>0</v>
      </c>
      <c r="H272" s="391">
        <v>0</v>
      </c>
      <c r="I272" s="391">
        <v>0</v>
      </c>
      <c r="J272" s="391">
        <v>0</v>
      </c>
      <c r="K272" s="391">
        <v>0</v>
      </c>
      <c r="L272" s="391">
        <v>0</v>
      </c>
      <c r="M272" s="391">
        <v>0</v>
      </c>
      <c r="N272" s="391">
        <v>0</v>
      </c>
      <c r="O272" s="391">
        <v>0</v>
      </c>
      <c r="P272" s="391">
        <v>0</v>
      </c>
      <c r="Q272" s="391">
        <v>0</v>
      </c>
      <c r="R272" s="400">
        <v>0</v>
      </c>
      <c r="S272" s="400">
        <f t="shared" si="28"/>
        <v>0</v>
      </c>
    </row>
    <row r="273" spans="1:19" x14ac:dyDescent="0.2">
      <c r="A273" s="219">
        <v>207</v>
      </c>
      <c r="B273" s="36"/>
      <c r="C273" s="9" t="s">
        <v>310</v>
      </c>
      <c r="D273" s="9"/>
      <c r="E273" s="18" t="s">
        <v>212</v>
      </c>
      <c r="F273" s="155" t="s">
        <v>285</v>
      </c>
      <c r="G273" s="429">
        <v>0</v>
      </c>
      <c r="H273" s="391">
        <v>0</v>
      </c>
      <c r="I273" s="391">
        <v>0</v>
      </c>
      <c r="J273" s="391">
        <v>0</v>
      </c>
      <c r="K273" s="391">
        <v>0</v>
      </c>
      <c r="L273" s="391">
        <v>0</v>
      </c>
      <c r="M273" s="391">
        <v>0</v>
      </c>
      <c r="N273" s="391">
        <v>0</v>
      </c>
      <c r="O273" s="391">
        <v>0</v>
      </c>
      <c r="P273" s="391">
        <v>0</v>
      </c>
      <c r="Q273" s="391">
        <v>0</v>
      </c>
      <c r="R273" s="400">
        <v>0</v>
      </c>
      <c r="S273" s="400">
        <f t="shared" si="28"/>
        <v>0</v>
      </c>
    </row>
    <row r="274" spans="1:19" x14ac:dyDescent="0.2">
      <c r="A274" s="219">
        <v>208</v>
      </c>
      <c r="B274" s="36"/>
      <c r="C274" s="9" t="s">
        <v>184</v>
      </c>
      <c r="D274" s="9"/>
      <c r="E274" s="18" t="s">
        <v>185</v>
      </c>
      <c r="F274" s="155" t="s">
        <v>285</v>
      </c>
      <c r="G274" s="429">
        <v>0</v>
      </c>
      <c r="H274" s="391">
        <v>923.13</v>
      </c>
      <c r="I274" s="391">
        <v>923.13</v>
      </c>
      <c r="J274" s="391">
        <v>923.13</v>
      </c>
      <c r="K274" s="391">
        <v>923.13</v>
      </c>
      <c r="L274" s="391">
        <v>923.13</v>
      </c>
      <c r="M274" s="391">
        <v>923.13</v>
      </c>
      <c r="N274" s="391">
        <v>923.13</v>
      </c>
      <c r="O274" s="391">
        <v>923.13</v>
      </c>
      <c r="P274" s="391">
        <v>923.13</v>
      </c>
      <c r="Q274" s="391">
        <v>923.13</v>
      </c>
      <c r="R274" s="400">
        <v>923.13</v>
      </c>
      <c r="S274" s="400">
        <f t="shared" si="28"/>
        <v>10154.429999999998</v>
      </c>
    </row>
    <row r="275" spans="1:19" x14ac:dyDescent="0.2">
      <c r="A275" s="219">
        <v>209</v>
      </c>
      <c r="B275" s="36"/>
      <c r="C275" s="9" t="s">
        <v>186</v>
      </c>
      <c r="D275" s="9"/>
      <c r="E275" s="18" t="s">
        <v>187</v>
      </c>
      <c r="F275" s="155" t="s">
        <v>285</v>
      </c>
      <c r="G275" s="429">
        <v>749.16666666666663</v>
      </c>
      <c r="H275" s="391">
        <v>749.16666666666663</v>
      </c>
      <c r="I275" s="391">
        <v>749.16666666666663</v>
      </c>
      <c r="J275" s="391">
        <v>749.16666666666663</v>
      </c>
      <c r="K275" s="391">
        <v>749.16666666666663</v>
      </c>
      <c r="L275" s="391">
        <v>749.16666666666663</v>
      </c>
      <c r="M275" s="391">
        <v>749.16666666666663</v>
      </c>
      <c r="N275" s="391">
        <v>749.16666666666663</v>
      </c>
      <c r="O275" s="391">
        <v>749.16666666666663</v>
      </c>
      <c r="P275" s="391">
        <v>749.16666666666663</v>
      </c>
      <c r="Q275" s="391">
        <v>749.16666666666663</v>
      </c>
      <c r="R275" s="400">
        <v>749.16666666666663</v>
      </c>
      <c r="S275" s="400">
        <f t="shared" si="28"/>
        <v>8990</v>
      </c>
    </row>
    <row r="276" spans="1:19" x14ac:dyDescent="0.2">
      <c r="A276" s="219">
        <v>210</v>
      </c>
      <c r="B276" s="36"/>
      <c r="C276" s="9" t="s">
        <v>188</v>
      </c>
      <c r="D276" s="9"/>
      <c r="E276" s="18" t="s">
        <v>189</v>
      </c>
      <c r="F276" s="155" t="s">
        <v>285</v>
      </c>
      <c r="G276" s="429">
        <v>175.20833333333334</v>
      </c>
      <c r="H276" s="391">
        <v>175.20833333333334</v>
      </c>
      <c r="I276" s="391">
        <v>175.20833333333334</v>
      </c>
      <c r="J276" s="391">
        <v>175.20833333333334</v>
      </c>
      <c r="K276" s="391">
        <v>175.20833333333334</v>
      </c>
      <c r="L276" s="391">
        <v>175.20833333333334</v>
      </c>
      <c r="M276" s="391">
        <v>175.20833333333334</v>
      </c>
      <c r="N276" s="391">
        <v>175.20833333333334</v>
      </c>
      <c r="O276" s="391">
        <v>175.20833333333334</v>
      </c>
      <c r="P276" s="391">
        <v>175.20833333333334</v>
      </c>
      <c r="Q276" s="391">
        <v>175.20833333333334</v>
      </c>
      <c r="R276" s="400">
        <v>175.20833333333334</v>
      </c>
      <c r="S276" s="400">
        <f t="shared" si="28"/>
        <v>2102.4999999999995</v>
      </c>
    </row>
    <row r="277" spans="1:19" x14ac:dyDescent="0.2">
      <c r="A277" s="219">
        <v>211</v>
      </c>
      <c r="B277" s="36"/>
      <c r="C277" s="9" t="s">
        <v>190</v>
      </c>
      <c r="D277" s="9"/>
      <c r="E277" s="18" t="s">
        <v>191</v>
      </c>
      <c r="F277" s="155" t="s">
        <v>285</v>
      </c>
      <c r="G277" s="429">
        <v>520.83333333333337</v>
      </c>
      <c r="H277" s="391">
        <v>520.83333333333337</v>
      </c>
      <c r="I277" s="391">
        <v>520.83333333333337</v>
      </c>
      <c r="J277" s="391">
        <v>520.83333333333337</v>
      </c>
      <c r="K277" s="391">
        <v>520.83333333333337</v>
      </c>
      <c r="L277" s="391">
        <v>520.83333333333337</v>
      </c>
      <c r="M277" s="391">
        <v>520.83333333333337</v>
      </c>
      <c r="N277" s="391">
        <v>520.83333333333337</v>
      </c>
      <c r="O277" s="391">
        <v>520.83333333333337</v>
      </c>
      <c r="P277" s="391">
        <v>520.83333333333337</v>
      </c>
      <c r="Q277" s="391">
        <v>520.83333333333337</v>
      </c>
      <c r="R277" s="400">
        <v>520.83333333333337</v>
      </c>
      <c r="S277" s="400">
        <f t="shared" si="28"/>
        <v>6249.9999999999991</v>
      </c>
    </row>
    <row r="278" spans="1:19" x14ac:dyDescent="0.2">
      <c r="A278" s="219">
        <v>212</v>
      </c>
      <c r="B278" s="36"/>
      <c r="C278" s="9" t="s">
        <v>192</v>
      </c>
      <c r="D278" s="9"/>
      <c r="E278" s="18" t="s">
        <v>193</v>
      </c>
      <c r="F278" s="155" t="s">
        <v>285</v>
      </c>
      <c r="G278" s="429">
        <v>0</v>
      </c>
      <c r="H278" s="391">
        <v>0</v>
      </c>
      <c r="I278" s="391">
        <v>0</v>
      </c>
      <c r="J278" s="391">
        <v>0</v>
      </c>
      <c r="K278" s="391">
        <v>0</v>
      </c>
      <c r="L278" s="391">
        <v>0</v>
      </c>
      <c r="M278" s="391">
        <v>0</v>
      </c>
      <c r="N278" s="391">
        <v>0</v>
      </c>
      <c r="O278" s="391">
        <v>0</v>
      </c>
      <c r="P278" s="391">
        <v>0</v>
      </c>
      <c r="Q278" s="391">
        <v>0</v>
      </c>
      <c r="R278" s="400">
        <v>0</v>
      </c>
      <c r="S278" s="400">
        <f t="shared" si="28"/>
        <v>0</v>
      </c>
    </row>
    <row r="279" spans="1:19" x14ac:dyDescent="0.2">
      <c r="A279" s="219">
        <v>213</v>
      </c>
      <c r="B279" s="36"/>
      <c r="C279" s="9" t="s">
        <v>194</v>
      </c>
      <c r="D279" s="9"/>
      <c r="E279" s="18" t="s">
        <v>195</v>
      </c>
      <c r="F279" s="155" t="s">
        <v>285</v>
      </c>
      <c r="G279" s="429">
        <v>0</v>
      </c>
      <c r="H279" s="391">
        <v>0</v>
      </c>
      <c r="I279" s="391">
        <v>0</v>
      </c>
      <c r="J279" s="391">
        <v>0</v>
      </c>
      <c r="K279" s="391">
        <v>0</v>
      </c>
      <c r="L279" s="391">
        <v>0</v>
      </c>
      <c r="M279" s="391">
        <v>0</v>
      </c>
      <c r="N279" s="391">
        <v>0</v>
      </c>
      <c r="O279" s="391">
        <v>0</v>
      </c>
      <c r="P279" s="391">
        <v>0</v>
      </c>
      <c r="Q279" s="391">
        <v>0</v>
      </c>
      <c r="R279" s="400">
        <v>0</v>
      </c>
      <c r="S279" s="400">
        <f t="shared" si="28"/>
        <v>0</v>
      </c>
    </row>
    <row r="280" spans="1:19" x14ac:dyDescent="0.2">
      <c r="A280" s="219">
        <v>214</v>
      </c>
      <c r="B280" s="36"/>
      <c r="C280" s="85" t="s">
        <v>196</v>
      </c>
      <c r="D280" s="9"/>
      <c r="E280" s="18"/>
      <c r="F280" s="155"/>
      <c r="G280" s="429">
        <v>0</v>
      </c>
      <c r="H280" s="391">
        <v>0</v>
      </c>
      <c r="I280" s="391">
        <v>0</v>
      </c>
      <c r="J280" s="391">
        <v>0</v>
      </c>
      <c r="K280" s="391">
        <v>0</v>
      </c>
      <c r="L280" s="391">
        <v>0</v>
      </c>
      <c r="M280" s="391">
        <v>0</v>
      </c>
      <c r="N280" s="391">
        <v>0</v>
      </c>
      <c r="O280" s="391">
        <v>0</v>
      </c>
      <c r="P280" s="391">
        <v>0</v>
      </c>
      <c r="Q280" s="391">
        <v>0</v>
      </c>
      <c r="R280" s="400">
        <v>0</v>
      </c>
      <c r="S280" s="400">
        <f t="shared" si="28"/>
        <v>0</v>
      </c>
    </row>
    <row r="281" spans="1:19" x14ac:dyDescent="0.2">
      <c r="A281" s="219">
        <v>215</v>
      </c>
      <c r="B281" s="36"/>
      <c r="C281" s="85"/>
      <c r="D281" s="9"/>
      <c r="E281" s="18"/>
      <c r="F281" s="155"/>
      <c r="G281" s="429">
        <v>0</v>
      </c>
      <c r="H281" s="391">
        <v>0</v>
      </c>
      <c r="I281" s="391">
        <v>0</v>
      </c>
      <c r="J281" s="391">
        <v>0</v>
      </c>
      <c r="K281" s="391">
        <v>0</v>
      </c>
      <c r="L281" s="391">
        <v>0</v>
      </c>
      <c r="M281" s="391">
        <v>0</v>
      </c>
      <c r="N281" s="391">
        <v>0</v>
      </c>
      <c r="O281" s="391">
        <v>0</v>
      </c>
      <c r="P281" s="391">
        <v>0</v>
      </c>
      <c r="Q281" s="391">
        <v>0</v>
      </c>
      <c r="R281" s="400">
        <v>0</v>
      </c>
      <c r="S281" s="400">
        <f t="shared" si="28"/>
        <v>0</v>
      </c>
    </row>
    <row r="282" spans="1:19" x14ac:dyDescent="0.2">
      <c r="A282" s="219">
        <v>216</v>
      </c>
      <c r="B282" s="36"/>
      <c r="C282" s="9"/>
      <c r="D282" s="9"/>
      <c r="E282" s="18"/>
      <c r="F282" s="155"/>
      <c r="G282" s="429">
        <v>0</v>
      </c>
      <c r="H282" s="391">
        <v>0</v>
      </c>
      <c r="I282" s="391">
        <v>0</v>
      </c>
      <c r="J282" s="391">
        <v>0</v>
      </c>
      <c r="K282" s="391">
        <v>0</v>
      </c>
      <c r="L282" s="391">
        <v>0</v>
      </c>
      <c r="M282" s="391">
        <v>0</v>
      </c>
      <c r="N282" s="391">
        <v>0</v>
      </c>
      <c r="O282" s="391">
        <v>0</v>
      </c>
      <c r="P282" s="391">
        <v>0</v>
      </c>
      <c r="Q282" s="391">
        <v>0</v>
      </c>
      <c r="R282" s="400">
        <v>0</v>
      </c>
      <c r="S282" s="400">
        <f t="shared" si="28"/>
        <v>0</v>
      </c>
    </row>
    <row r="283" spans="1:19" ht="15" x14ac:dyDescent="0.25">
      <c r="A283" s="220">
        <v>217</v>
      </c>
      <c r="B283" s="87" t="s">
        <v>311</v>
      </c>
      <c r="C283" s="51"/>
      <c r="D283" s="51"/>
      <c r="E283" s="49"/>
      <c r="F283" s="159"/>
      <c r="G283" s="438">
        <f t="shared" ref="G283:S283" si="29">SUM(G254:G282)</f>
        <v>25812.625</v>
      </c>
      <c r="H283" s="415">
        <f t="shared" si="29"/>
        <v>90636.171666666676</v>
      </c>
      <c r="I283" s="415">
        <f t="shared" si="29"/>
        <v>90636.171666666676</v>
      </c>
      <c r="J283" s="415">
        <f t="shared" si="29"/>
        <v>90636.171666666676</v>
      </c>
      <c r="K283" s="415">
        <f t="shared" si="29"/>
        <v>90636.171666666676</v>
      </c>
      <c r="L283" s="415">
        <f t="shared" si="29"/>
        <v>90636.171666666676</v>
      </c>
      <c r="M283" s="415">
        <f t="shared" si="29"/>
        <v>90636.171666666676</v>
      </c>
      <c r="N283" s="415">
        <f t="shared" si="29"/>
        <v>90636.171666666676</v>
      </c>
      <c r="O283" s="415">
        <f t="shared" si="29"/>
        <v>90636.171666666676</v>
      </c>
      <c r="P283" s="415">
        <f t="shared" si="29"/>
        <v>90636.171666666676</v>
      </c>
      <c r="Q283" s="415">
        <f t="shared" si="29"/>
        <v>90636.171666666676</v>
      </c>
      <c r="R283" s="402">
        <f t="shared" si="29"/>
        <v>90636.171666666676</v>
      </c>
      <c r="S283" s="402">
        <f t="shared" si="29"/>
        <v>1022810.5133333333</v>
      </c>
    </row>
    <row r="284" spans="1:19" x14ac:dyDescent="0.2">
      <c r="A284" s="219"/>
      <c r="B284" s="36"/>
      <c r="C284" s="9"/>
      <c r="D284" s="9"/>
      <c r="E284" s="61"/>
      <c r="F284" s="154"/>
      <c r="G284" s="414"/>
      <c r="H284" s="388"/>
      <c r="I284" s="388"/>
      <c r="J284" s="388"/>
      <c r="K284" s="388"/>
      <c r="L284" s="388"/>
      <c r="M284" s="388"/>
      <c r="N284" s="388"/>
      <c r="O284" s="388"/>
      <c r="P284" s="388"/>
      <c r="Q284" s="388"/>
      <c r="R284" s="399"/>
      <c r="S284" s="399"/>
    </row>
    <row r="285" spans="1:19" s="4" customFormat="1" ht="15" x14ac:dyDescent="0.25">
      <c r="A285" s="219"/>
      <c r="B285" s="88" t="s">
        <v>312</v>
      </c>
      <c r="C285" s="53"/>
      <c r="D285" s="53"/>
      <c r="E285" s="77"/>
      <c r="F285" s="166"/>
      <c r="G285" s="147"/>
      <c r="H285" s="148"/>
      <c r="I285" s="148"/>
      <c r="J285" s="148"/>
      <c r="K285" s="148"/>
      <c r="L285" s="148"/>
      <c r="M285" s="148"/>
      <c r="N285" s="148"/>
      <c r="O285" s="148"/>
      <c r="P285" s="148"/>
      <c r="Q285" s="148"/>
      <c r="R285" s="149"/>
      <c r="S285" s="149"/>
    </row>
    <row r="286" spans="1:19" x14ac:dyDescent="0.2">
      <c r="A286" s="219">
        <v>218</v>
      </c>
      <c r="B286" s="36"/>
      <c r="C286" s="9" t="s">
        <v>168</v>
      </c>
      <c r="D286" s="9"/>
      <c r="E286" s="18" t="s">
        <v>313</v>
      </c>
      <c r="F286" s="155" t="s">
        <v>314</v>
      </c>
      <c r="G286" s="429">
        <v>0</v>
      </c>
      <c r="H286" s="391">
        <v>30140.896668956044</v>
      </c>
      <c r="I286" s="391">
        <f>+H286</f>
        <v>30140.896668956044</v>
      </c>
      <c r="J286" s="391">
        <f t="shared" ref="J286:Q286" si="30">+I286</f>
        <v>30140.896668956044</v>
      </c>
      <c r="K286" s="391">
        <f t="shared" si="30"/>
        <v>30140.896668956044</v>
      </c>
      <c r="L286" s="391">
        <f t="shared" si="30"/>
        <v>30140.896668956044</v>
      </c>
      <c r="M286" s="391">
        <f t="shared" si="30"/>
        <v>30140.896668956044</v>
      </c>
      <c r="N286" s="391">
        <f t="shared" si="30"/>
        <v>30140.896668956044</v>
      </c>
      <c r="O286" s="391">
        <f t="shared" si="30"/>
        <v>30140.896668956044</v>
      </c>
      <c r="P286" s="391">
        <f t="shared" si="30"/>
        <v>30140.896668956044</v>
      </c>
      <c r="Q286" s="391">
        <f t="shared" si="30"/>
        <v>30140.896668956044</v>
      </c>
      <c r="R286" s="400">
        <v>0</v>
      </c>
      <c r="S286" s="400">
        <f>SUM(G286:R286)</f>
        <v>301408.96668956039</v>
      </c>
    </row>
    <row r="287" spans="1:19" x14ac:dyDescent="0.2">
      <c r="A287" s="219"/>
      <c r="B287" s="36"/>
      <c r="C287" s="9" t="s">
        <v>315</v>
      </c>
      <c r="D287" s="9"/>
      <c r="E287" s="61"/>
      <c r="F287" s="154"/>
      <c r="G287" s="414"/>
      <c r="H287" s="388"/>
      <c r="I287" s="388"/>
      <c r="J287" s="388"/>
      <c r="K287" s="388"/>
      <c r="L287" s="388"/>
      <c r="M287" s="388"/>
      <c r="N287" s="388"/>
      <c r="O287" s="388"/>
      <c r="P287" s="388"/>
      <c r="Q287" s="388"/>
      <c r="R287" s="399"/>
      <c r="S287" s="399"/>
    </row>
    <row r="288" spans="1:19" x14ac:dyDescent="0.2">
      <c r="A288" s="219">
        <v>219</v>
      </c>
      <c r="B288" s="36"/>
      <c r="C288" s="9" t="s">
        <v>157</v>
      </c>
      <c r="D288" s="9" t="s">
        <v>316</v>
      </c>
      <c r="E288" s="18" t="s">
        <v>272</v>
      </c>
      <c r="F288" s="155" t="s">
        <v>314</v>
      </c>
      <c r="G288" s="429">
        <v>0</v>
      </c>
      <c r="H288" s="391">
        <v>0</v>
      </c>
      <c r="I288" s="391">
        <v>0</v>
      </c>
      <c r="J288" s="391">
        <v>0</v>
      </c>
      <c r="K288" s="391">
        <v>0</v>
      </c>
      <c r="L288" s="391">
        <v>0</v>
      </c>
      <c r="M288" s="391">
        <v>0</v>
      </c>
      <c r="N288" s="391">
        <v>0</v>
      </c>
      <c r="O288" s="391">
        <v>0</v>
      </c>
      <c r="P288" s="391">
        <v>0</v>
      </c>
      <c r="Q288" s="391">
        <v>0</v>
      </c>
      <c r="R288" s="400">
        <v>0</v>
      </c>
      <c r="S288" s="400">
        <f t="shared" ref="S288:S304" si="31">SUM(G288:R288)</f>
        <v>0</v>
      </c>
    </row>
    <row r="289" spans="1:19" x14ac:dyDescent="0.2">
      <c r="A289" s="219">
        <v>220</v>
      </c>
      <c r="B289" s="36"/>
      <c r="C289" s="9"/>
      <c r="D289" s="9" t="s">
        <v>171</v>
      </c>
      <c r="E289" s="18" t="s">
        <v>172</v>
      </c>
      <c r="F289" s="155" t="s">
        <v>317</v>
      </c>
      <c r="G289" s="429">
        <v>0</v>
      </c>
      <c r="H289" s="391">
        <v>0</v>
      </c>
      <c r="I289" s="391">
        <v>0</v>
      </c>
      <c r="J289" s="391">
        <v>0</v>
      </c>
      <c r="K289" s="391">
        <v>0</v>
      </c>
      <c r="L289" s="391">
        <v>0</v>
      </c>
      <c r="M289" s="391">
        <v>0</v>
      </c>
      <c r="N289" s="391">
        <v>0</v>
      </c>
      <c r="O289" s="391">
        <v>0</v>
      </c>
      <c r="P289" s="391">
        <v>0</v>
      </c>
      <c r="Q289" s="391">
        <v>0</v>
      </c>
      <c r="R289" s="400">
        <v>0</v>
      </c>
      <c r="S289" s="400">
        <f t="shared" si="31"/>
        <v>0</v>
      </c>
    </row>
    <row r="290" spans="1:19" x14ac:dyDescent="0.2">
      <c r="A290" s="219">
        <v>221</v>
      </c>
      <c r="B290" s="36"/>
      <c r="C290" s="9"/>
      <c r="D290" s="9" t="s">
        <v>318</v>
      </c>
      <c r="E290" s="18" t="s">
        <v>319</v>
      </c>
      <c r="F290" s="155" t="s">
        <v>317</v>
      </c>
      <c r="G290" s="429">
        <v>0</v>
      </c>
      <c r="H290" s="391">
        <v>0</v>
      </c>
      <c r="I290" s="391">
        <v>0</v>
      </c>
      <c r="J290" s="391">
        <v>0</v>
      </c>
      <c r="K290" s="391">
        <v>0</v>
      </c>
      <c r="L290" s="391">
        <v>0</v>
      </c>
      <c r="M290" s="391">
        <v>0</v>
      </c>
      <c r="N290" s="391">
        <v>0</v>
      </c>
      <c r="O290" s="391">
        <v>0</v>
      </c>
      <c r="P290" s="391">
        <v>0</v>
      </c>
      <c r="Q290" s="391">
        <v>0</v>
      </c>
      <c r="R290" s="400">
        <v>0</v>
      </c>
      <c r="S290" s="400">
        <f t="shared" si="31"/>
        <v>0</v>
      </c>
    </row>
    <row r="291" spans="1:19" x14ac:dyDescent="0.2">
      <c r="A291" s="219">
        <v>222</v>
      </c>
      <c r="B291" s="36"/>
      <c r="C291" s="9"/>
      <c r="D291" s="9" t="s">
        <v>320</v>
      </c>
      <c r="E291" s="18" t="s">
        <v>321</v>
      </c>
      <c r="F291" s="155" t="s">
        <v>317</v>
      </c>
      <c r="G291" s="429">
        <v>0</v>
      </c>
      <c r="H291" s="391">
        <v>0</v>
      </c>
      <c r="I291" s="391">
        <v>0</v>
      </c>
      <c r="J291" s="391">
        <v>0</v>
      </c>
      <c r="K291" s="391">
        <v>0</v>
      </c>
      <c r="L291" s="391">
        <v>0</v>
      </c>
      <c r="M291" s="391">
        <v>0</v>
      </c>
      <c r="N291" s="391">
        <v>0</v>
      </c>
      <c r="O291" s="391">
        <v>0</v>
      </c>
      <c r="P291" s="391">
        <v>0</v>
      </c>
      <c r="Q291" s="391">
        <v>0</v>
      </c>
      <c r="R291" s="400">
        <v>0</v>
      </c>
      <c r="S291" s="400">
        <f t="shared" si="31"/>
        <v>0</v>
      </c>
    </row>
    <row r="292" spans="1:19" x14ac:dyDescent="0.2">
      <c r="A292" s="219">
        <v>223</v>
      </c>
      <c r="B292" s="36"/>
      <c r="C292" s="9"/>
      <c r="D292" s="9" t="s">
        <v>207</v>
      </c>
      <c r="E292" s="18" t="s">
        <v>177</v>
      </c>
      <c r="F292" s="155" t="s">
        <v>317</v>
      </c>
      <c r="G292" s="429">
        <v>0</v>
      </c>
      <c r="H292" s="391">
        <v>0</v>
      </c>
      <c r="I292" s="391">
        <v>0</v>
      </c>
      <c r="J292" s="391">
        <v>0</v>
      </c>
      <c r="K292" s="391">
        <v>0</v>
      </c>
      <c r="L292" s="391">
        <v>0</v>
      </c>
      <c r="M292" s="391">
        <v>0</v>
      </c>
      <c r="N292" s="391">
        <v>0</v>
      </c>
      <c r="O292" s="391">
        <v>0</v>
      </c>
      <c r="P292" s="391">
        <v>0</v>
      </c>
      <c r="Q292" s="391">
        <v>0</v>
      </c>
      <c r="R292" s="400">
        <v>0</v>
      </c>
      <c r="S292" s="400">
        <f t="shared" si="31"/>
        <v>0</v>
      </c>
    </row>
    <row r="293" spans="1:19" x14ac:dyDescent="0.2">
      <c r="A293" s="219">
        <v>224</v>
      </c>
      <c r="B293" s="36"/>
      <c r="C293" s="9"/>
      <c r="D293" s="9" t="s">
        <v>322</v>
      </c>
      <c r="E293" s="18" t="s">
        <v>292</v>
      </c>
      <c r="F293" s="155" t="s">
        <v>317</v>
      </c>
      <c r="G293" s="429">
        <v>0</v>
      </c>
      <c r="H293" s="391">
        <v>0</v>
      </c>
      <c r="I293" s="391">
        <v>0</v>
      </c>
      <c r="J293" s="391">
        <v>0</v>
      </c>
      <c r="K293" s="391">
        <v>0</v>
      </c>
      <c r="L293" s="391">
        <v>0</v>
      </c>
      <c r="M293" s="391">
        <v>0</v>
      </c>
      <c r="N293" s="391">
        <v>0</v>
      </c>
      <c r="O293" s="391">
        <v>0</v>
      </c>
      <c r="P293" s="391">
        <v>0</v>
      </c>
      <c r="Q293" s="391">
        <v>0</v>
      </c>
      <c r="R293" s="400">
        <v>0</v>
      </c>
      <c r="S293" s="400">
        <f t="shared" si="31"/>
        <v>0</v>
      </c>
    </row>
    <row r="294" spans="1:19" x14ac:dyDescent="0.2">
      <c r="A294" s="219">
        <v>225</v>
      </c>
      <c r="B294" s="36"/>
      <c r="C294" s="9"/>
      <c r="D294" s="9" t="s">
        <v>180</v>
      </c>
      <c r="E294" s="18" t="s">
        <v>181</v>
      </c>
      <c r="F294" s="155" t="s">
        <v>317</v>
      </c>
      <c r="G294" s="429">
        <v>0</v>
      </c>
      <c r="H294" s="391">
        <v>0</v>
      </c>
      <c r="I294" s="391">
        <v>0</v>
      </c>
      <c r="J294" s="391">
        <v>0</v>
      </c>
      <c r="K294" s="391">
        <v>0</v>
      </c>
      <c r="L294" s="391">
        <v>0</v>
      </c>
      <c r="M294" s="391">
        <v>0</v>
      </c>
      <c r="N294" s="391">
        <v>0</v>
      </c>
      <c r="O294" s="391">
        <v>0</v>
      </c>
      <c r="P294" s="391">
        <v>0</v>
      </c>
      <c r="Q294" s="391">
        <v>0</v>
      </c>
      <c r="R294" s="400">
        <v>0</v>
      </c>
      <c r="S294" s="400">
        <f t="shared" si="31"/>
        <v>0</v>
      </c>
    </row>
    <row r="295" spans="1:19" x14ac:dyDescent="0.2">
      <c r="A295" s="219">
        <v>226</v>
      </c>
      <c r="B295" s="36"/>
      <c r="C295" s="9"/>
      <c r="D295" s="9" t="s">
        <v>182</v>
      </c>
      <c r="E295" s="18" t="s">
        <v>183</v>
      </c>
      <c r="F295" s="155" t="s">
        <v>317</v>
      </c>
      <c r="G295" s="429">
        <v>0</v>
      </c>
      <c r="H295" s="391">
        <v>0</v>
      </c>
      <c r="I295" s="391">
        <v>0</v>
      </c>
      <c r="J295" s="391">
        <v>0</v>
      </c>
      <c r="K295" s="391">
        <v>0</v>
      </c>
      <c r="L295" s="391">
        <v>0</v>
      </c>
      <c r="M295" s="391">
        <v>0</v>
      </c>
      <c r="N295" s="391">
        <v>0</v>
      </c>
      <c r="O295" s="391">
        <v>0</v>
      </c>
      <c r="P295" s="391">
        <v>0</v>
      </c>
      <c r="Q295" s="391">
        <v>0</v>
      </c>
      <c r="R295" s="400">
        <v>0</v>
      </c>
      <c r="S295" s="400">
        <f t="shared" si="31"/>
        <v>0</v>
      </c>
    </row>
    <row r="296" spans="1:19" x14ac:dyDescent="0.2">
      <c r="A296" s="219">
        <v>227</v>
      </c>
      <c r="B296" s="36"/>
      <c r="C296" s="9"/>
      <c r="D296" s="9" t="s">
        <v>184</v>
      </c>
      <c r="E296" s="18" t="s">
        <v>185</v>
      </c>
      <c r="F296" s="155" t="s">
        <v>314</v>
      </c>
      <c r="G296" s="429">
        <v>0</v>
      </c>
      <c r="H296" s="391">
        <v>0</v>
      </c>
      <c r="I296" s="391">
        <v>0</v>
      </c>
      <c r="J296" s="391">
        <v>0</v>
      </c>
      <c r="K296" s="391">
        <v>0</v>
      </c>
      <c r="L296" s="391">
        <v>0</v>
      </c>
      <c r="M296" s="391">
        <v>0</v>
      </c>
      <c r="N296" s="391">
        <v>0</v>
      </c>
      <c r="O296" s="391">
        <v>0</v>
      </c>
      <c r="P296" s="391">
        <v>0</v>
      </c>
      <c r="Q296" s="391">
        <v>0</v>
      </c>
      <c r="R296" s="400">
        <v>0</v>
      </c>
      <c r="S296" s="400">
        <f t="shared" si="31"/>
        <v>0</v>
      </c>
    </row>
    <row r="297" spans="1:19" x14ac:dyDescent="0.2">
      <c r="A297" s="219">
        <v>228</v>
      </c>
      <c r="B297" s="36"/>
      <c r="C297" s="9"/>
      <c r="D297" s="9" t="s">
        <v>186</v>
      </c>
      <c r="E297" s="18" t="s">
        <v>187</v>
      </c>
      <c r="F297" s="155" t="s">
        <v>314</v>
      </c>
      <c r="G297" s="429">
        <v>0</v>
      </c>
      <c r="H297" s="391">
        <v>0</v>
      </c>
      <c r="I297" s="391">
        <v>0</v>
      </c>
      <c r="J297" s="391">
        <v>0</v>
      </c>
      <c r="K297" s="391">
        <v>0</v>
      </c>
      <c r="L297" s="391">
        <v>0</v>
      </c>
      <c r="M297" s="391">
        <v>0</v>
      </c>
      <c r="N297" s="391">
        <v>0</v>
      </c>
      <c r="O297" s="391">
        <v>0</v>
      </c>
      <c r="P297" s="391">
        <v>0</v>
      </c>
      <c r="Q297" s="391">
        <v>0</v>
      </c>
      <c r="R297" s="400">
        <v>0</v>
      </c>
      <c r="S297" s="400">
        <f t="shared" si="31"/>
        <v>0</v>
      </c>
    </row>
    <row r="298" spans="1:19" x14ac:dyDescent="0.2">
      <c r="A298" s="219">
        <v>229</v>
      </c>
      <c r="B298" s="36"/>
      <c r="C298" s="9"/>
      <c r="D298" s="9" t="s">
        <v>188</v>
      </c>
      <c r="E298" s="18" t="s">
        <v>189</v>
      </c>
      <c r="F298" s="155" t="s">
        <v>314</v>
      </c>
      <c r="G298" s="429">
        <v>0</v>
      </c>
      <c r="H298" s="391">
        <v>0</v>
      </c>
      <c r="I298" s="391">
        <v>0</v>
      </c>
      <c r="J298" s="391">
        <v>0</v>
      </c>
      <c r="K298" s="391">
        <v>0</v>
      </c>
      <c r="L298" s="391">
        <v>0</v>
      </c>
      <c r="M298" s="391">
        <v>0</v>
      </c>
      <c r="N298" s="391">
        <v>0</v>
      </c>
      <c r="O298" s="391">
        <v>0</v>
      </c>
      <c r="P298" s="391">
        <v>0</v>
      </c>
      <c r="Q298" s="391">
        <v>0</v>
      </c>
      <c r="R298" s="400">
        <v>0</v>
      </c>
      <c r="S298" s="400">
        <f t="shared" si="31"/>
        <v>0</v>
      </c>
    </row>
    <row r="299" spans="1:19" x14ac:dyDescent="0.2">
      <c r="A299" s="219">
        <v>230</v>
      </c>
      <c r="B299" s="36"/>
      <c r="C299" s="9"/>
      <c r="D299" s="9" t="s">
        <v>190</v>
      </c>
      <c r="E299" s="18" t="s">
        <v>191</v>
      </c>
      <c r="F299" s="155" t="s">
        <v>314</v>
      </c>
      <c r="G299" s="429">
        <v>0</v>
      </c>
      <c r="H299" s="391">
        <v>0</v>
      </c>
      <c r="I299" s="391">
        <v>0</v>
      </c>
      <c r="J299" s="391">
        <v>0</v>
      </c>
      <c r="K299" s="391">
        <v>0</v>
      </c>
      <c r="L299" s="391">
        <v>0</v>
      </c>
      <c r="M299" s="391">
        <v>0</v>
      </c>
      <c r="N299" s="391">
        <v>0</v>
      </c>
      <c r="O299" s="391">
        <v>0</v>
      </c>
      <c r="P299" s="391">
        <v>0</v>
      </c>
      <c r="Q299" s="391">
        <v>0</v>
      </c>
      <c r="R299" s="400">
        <v>0</v>
      </c>
      <c r="S299" s="400">
        <f t="shared" si="31"/>
        <v>0</v>
      </c>
    </row>
    <row r="300" spans="1:19" x14ac:dyDescent="0.2">
      <c r="A300" s="219">
        <v>231</v>
      </c>
      <c r="B300" s="36"/>
      <c r="C300" s="9"/>
      <c r="D300" s="9" t="s">
        <v>192</v>
      </c>
      <c r="E300" s="18" t="s">
        <v>193</v>
      </c>
      <c r="F300" s="155" t="s">
        <v>314</v>
      </c>
      <c r="G300" s="429">
        <v>0</v>
      </c>
      <c r="H300" s="391">
        <v>0</v>
      </c>
      <c r="I300" s="391">
        <v>0</v>
      </c>
      <c r="J300" s="391">
        <v>0</v>
      </c>
      <c r="K300" s="391">
        <v>0</v>
      </c>
      <c r="L300" s="391">
        <v>0</v>
      </c>
      <c r="M300" s="391">
        <v>0</v>
      </c>
      <c r="N300" s="391">
        <v>0</v>
      </c>
      <c r="O300" s="391">
        <v>0</v>
      </c>
      <c r="P300" s="391">
        <v>0</v>
      </c>
      <c r="Q300" s="391">
        <v>0</v>
      </c>
      <c r="R300" s="400">
        <v>0</v>
      </c>
      <c r="S300" s="400">
        <f t="shared" si="31"/>
        <v>0</v>
      </c>
    </row>
    <row r="301" spans="1:19" x14ac:dyDescent="0.2">
      <c r="A301" s="219">
        <v>232</v>
      </c>
      <c r="B301" s="36"/>
      <c r="C301" s="9"/>
      <c r="D301" s="9" t="s">
        <v>194</v>
      </c>
      <c r="E301" s="18" t="s">
        <v>195</v>
      </c>
      <c r="F301" s="155" t="s">
        <v>314</v>
      </c>
      <c r="G301" s="429">
        <v>0</v>
      </c>
      <c r="H301" s="391">
        <v>0</v>
      </c>
      <c r="I301" s="391">
        <v>0</v>
      </c>
      <c r="J301" s="391">
        <v>0</v>
      </c>
      <c r="K301" s="391">
        <v>0</v>
      </c>
      <c r="L301" s="391">
        <v>0</v>
      </c>
      <c r="M301" s="391">
        <v>0</v>
      </c>
      <c r="N301" s="391">
        <v>0</v>
      </c>
      <c r="O301" s="391">
        <v>0</v>
      </c>
      <c r="P301" s="391">
        <v>0</v>
      </c>
      <c r="Q301" s="391">
        <v>0</v>
      </c>
      <c r="R301" s="400">
        <v>0</v>
      </c>
      <c r="S301" s="400">
        <f t="shared" si="31"/>
        <v>0</v>
      </c>
    </row>
    <row r="302" spans="1:19" x14ac:dyDescent="0.2">
      <c r="A302" s="219">
        <v>233</v>
      </c>
      <c r="B302" s="36"/>
      <c r="C302" s="85" t="s">
        <v>196</v>
      </c>
      <c r="D302" s="9"/>
      <c r="E302" s="18"/>
      <c r="F302" s="155"/>
      <c r="G302" s="429">
        <v>0</v>
      </c>
      <c r="H302" s="391">
        <v>0</v>
      </c>
      <c r="I302" s="391">
        <v>0</v>
      </c>
      <c r="J302" s="391">
        <v>0</v>
      </c>
      <c r="K302" s="391">
        <v>0</v>
      </c>
      <c r="L302" s="391">
        <v>0</v>
      </c>
      <c r="M302" s="391">
        <v>0</v>
      </c>
      <c r="N302" s="391">
        <v>0</v>
      </c>
      <c r="O302" s="391">
        <v>0</v>
      </c>
      <c r="P302" s="391">
        <v>0</v>
      </c>
      <c r="Q302" s="391">
        <v>0</v>
      </c>
      <c r="R302" s="400">
        <v>0</v>
      </c>
      <c r="S302" s="400">
        <f t="shared" si="31"/>
        <v>0</v>
      </c>
    </row>
    <row r="303" spans="1:19" x14ac:dyDescent="0.2">
      <c r="A303" s="219">
        <v>234</v>
      </c>
      <c r="B303" s="36"/>
      <c r="C303" s="85"/>
      <c r="D303" s="9"/>
      <c r="E303" s="18"/>
      <c r="F303" s="155"/>
      <c r="G303" s="429">
        <v>0</v>
      </c>
      <c r="H303" s="391">
        <v>0</v>
      </c>
      <c r="I303" s="391">
        <v>0</v>
      </c>
      <c r="J303" s="391">
        <v>0</v>
      </c>
      <c r="K303" s="391">
        <v>0</v>
      </c>
      <c r="L303" s="391">
        <v>0</v>
      </c>
      <c r="M303" s="391">
        <v>0</v>
      </c>
      <c r="N303" s="391">
        <v>0</v>
      </c>
      <c r="O303" s="391">
        <v>0</v>
      </c>
      <c r="P303" s="391">
        <v>0</v>
      </c>
      <c r="Q303" s="391">
        <v>0</v>
      </c>
      <c r="R303" s="400">
        <v>0</v>
      </c>
      <c r="S303" s="400">
        <f t="shared" si="31"/>
        <v>0</v>
      </c>
    </row>
    <row r="304" spans="1:19" x14ac:dyDescent="0.2">
      <c r="A304" s="219">
        <v>235</v>
      </c>
      <c r="B304" s="83"/>
      <c r="D304" s="13"/>
      <c r="E304" s="14"/>
      <c r="F304" s="163"/>
      <c r="G304" s="429">
        <v>0</v>
      </c>
      <c r="H304" s="412">
        <v>0</v>
      </c>
      <c r="I304" s="412">
        <v>0</v>
      </c>
      <c r="J304" s="412">
        <v>0</v>
      </c>
      <c r="K304" s="412">
        <v>0</v>
      </c>
      <c r="L304" s="412">
        <v>0</v>
      </c>
      <c r="M304" s="412">
        <v>0</v>
      </c>
      <c r="N304" s="412">
        <v>0</v>
      </c>
      <c r="O304" s="412">
        <v>0</v>
      </c>
      <c r="P304" s="412">
        <v>0</v>
      </c>
      <c r="Q304" s="412">
        <v>0</v>
      </c>
      <c r="R304" s="413">
        <v>0</v>
      </c>
      <c r="S304" s="400">
        <f t="shared" si="31"/>
        <v>0</v>
      </c>
    </row>
    <row r="305" spans="1:19" ht="15" x14ac:dyDescent="0.25">
      <c r="A305" s="220">
        <v>236</v>
      </c>
      <c r="B305" s="87" t="s">
        <v>323</v>
      </c>
      <c r="C305" s="51"/>
      <c r="D305" s="51"/>
      <c r="E305" s="49"/>
      <c r="F305" s="159"/>
      <c r="G305" s="438">
        <f t="shared" ref="G305:S305" si="32">SUM(G286:G304)</f>
        <v>0</v>
      </c>
      <c r="H305" s="415">
        <f t="shared" si="32"/>
        <v>30140.896668956044</v>
      </c>
      <c r="I305" s="415">
        <f t="shared" si="32"/>
        <v>30140.896668956044</v>
      </c>
      <c r="J305" s="415">
        <f t="shared" si="32"/>
        <v>30140.896668956044</v>
      </c>
      <c r="K305" s="415">
        <f t="shared" si="32"/>
        <v>30140.896668956044</v>
      </c>
      <c r="L305" s="415">
        <f t="shared" si="32"/>
        <v>30140.896668956044</v>
      </c>
      <c r="M305" s="415">
        <f t="shared" si="32"/>
        <v>30140.896668956044</v>
      </c>
      <c r="N305" s="415">
        <f t="shared" si="32"/>
        <v>30140.896668956044</v>
      </c>
      <c r="O305" s="415">
        <f t="shared" si="32"/>
        <v>30140.896668956044</v>
      </c>
      <c r="P305" s="415">
        <f t="shared" si="32"/>
        <v>30140.896668956044</v>
      </c>
      <c r="Q305" s="415">
        <f t="shared" si="32"/>
        <v>30140.896668956044</v>
      </c>
      <c r="R305" s="402">
        <f t="shared" si="32"/>
        <v>0</v>
      </c>
      <c r="S305" s="402">
        <f t="shared" si="32"/>
        <v>301408.96668956039</v>
      </c>
    </row>
    <row r="306" spans="1:19" x14ac:dyDescent="0.2">
      <c r="A306" s="219"/>
      <c r="B306" s="35"/>
      <c r="C306" s="12"/>
      <c r="D306" s="12"/>
      <c r="E306" s="71"/>
      <c r="F306" s="153"/>
      <c r="G306" s="436"/>
      <c r="H306" s="385"/>
      <c r="I306" s="385"/>
      <c r="J306" s="385"/>
      <c r="K306" s="385"/>
      <c r="L306" s="385"/>
      <c r="M306" s="385"/>
      <c r="N306" s="385"/>
      <c r="O306" s="385"/>
      <c r="P306" s="385"/>
      <c r="Q306" s="385"/>
      <c r="R306" s="398"/>
      <c r="S306" s="398"/>
    </row>
    <row r="307" spans="1:19" s="4" customFormat="1" ht="15" x14ac:dyDescent="0.25">
      <c r="A307" s="219"/>
      <c r="B307" s="88" t="s">
        <v>324</v>
      </c>
      <c r="C307" s="53"/>
      <c r="D307" s="53"/>
      <c r="E307" s="77"/>
      <c r="F307" s="166"/>
      <c r="G307" s="147"/>
      <c r="H307" s="148"/>
      <c r="I307" s="148"/>
      <c r="J307" s="148"/>
      <c r="K307" s="148"/>
      <c r="L307" s="148"/>
      <c r="M307" s="148"/>
      <c r="N307" s="148"/>
      <c r="O307" s="148"/>
      <c r="P307" s="148"/>
      <c r="Q307" s="148"/>
      <c r="R307" s="149"/>
      <c r="S307" s="149"/>
    </row>
    <row r="308" spans="1:19" ht="15" x14ac:dyDescent="0.25">
      <c r="A308" s="219"/>
      <c r="B308" s="36"/>
      <c r="C308" s="106" t="s">
        <v>325</v>
      </c>
      <c r="D308" s="9"/>
      <c r="E308" s="77"/>
      <c r="F308" s="166"/>
      <c r="G308" s="414"/>
      <c r="H308" s="388"/>
      <c r="I308" s="388"/>
      <c r="J308" s="388"/>
      <c r="K308" s="388"/>
      <c r="L308" s="388"/>
      <c r="M308" s="388"/>
      <c r="N308" s="388"/>
      <c r="O308" s="388"/>
      <c r="P308" s="388"/>
      <c r="Q308" s="388"/>
      <c r="R308" s="399"/>
      <c r="S308" s="399"/>
    </row>
    <row r="309" spans="1:19" x14ac:dyDescent="0.2">
      <c r="A309" s="219">
        <v>237</v>
      </c>
      <c r="B309" s="36"/>
      <c r="C309" s="9"/>
      <c r="D309" s="9" t="s">
        <v>168</v>
      </c>
      <c r="E309" s="18" t="s">
        <v>169</v>
      </c>
      <c r="F309" s="155" t="s">
        <v>326</v>
      </c>
      <c r="G309" s="429">
        <v>0</v>
      </c>
      <c r="H309" s="391">
        <v>0</v>
      </c>
      <c r="I309" s="391">
        <v>0</v>
      </c>
      <c r="J309" s="391">
        <v>0</v>
      </c>
      <c r="K309" s="391">
        <v>0</v>
      </c>
      <c r="L309" s="391">
        <v>0</v>
      </c>
      <c r="M309" s="391">
        <v>0</v>
      </c>
      <c r="N309" s="391">
        <v>0</v>
      </c>
      <c r="O309" s="391">
        <v>0</v>
      </c>
      <c r="P309" s="391">
        <v>0</v>
      </c>
      <c r="Q309" s="391">
        <v>0</v>
      </c>
      <c r="R309" s="400">
        <v>0</v>
      </c>
      <c r="S309" s="400">
        <f t="shared" ref="S309:S320" si="33">SUM(G309:R309)</f>
        <v>0</v>
      </c>
    </row>
    <row r="310" spans="1:19" x14ac:dyDescent="0.2">
      <c r="A310" s="219">
        <v>238</v>
      </c>
      <c r="B310" s="36"/>
      <c r="C310" s="9"/>
      <c r="D310" s="9" t="s">
        <v>327</v>
      </c>
      <c r="E310" s="18" t="s">
        <v>328</v>
      </c>
      <c r="F310" s="155">
        <v>2830</v>
      </c>
      <c r="G310" s="429">
        <v>0</v>
      </c>
      <c r="H310" s="391">
        <v>379</v>
      </c>
      <c r="I310" s="391">
        <v>379</v>
      </c>
      <c r="J310" s="391">
        <v>379</v>
      </c>
      <c r="K310" s="391">
        <v>379</v>
      </c>
      <c r="L310" s="391">
        <v>379</v>
      </c>
      <c r="M310" s="391">
        <v>379</v>
      </c>
      <c r="N310" s="391">
        <v>379</v>
      </c>
      <c r="O310" s="391">
        <v>379</v>
      </c>
      <c r="P310" s="391">
        <v>379</v>
      </c>
      <c r="Q310" s="391">
        <v>379</v>
      </c>
      <c r="R310" s="400">
        <v>379</v>
      </c>
      <c r="S310" s="400">
        <f t="shared" si="33"/>
        <v>4169</v>
      </c>
    </row>
    <row r="311" spans="1:19" x14ac:dyDescent="0.2">
      <c r="A311" s="219">
        <v>239</v>
      </c>
      <c r="B311" s="36"/>
      <c r="C311" s="9"/>
      <c r="D311" s="9" t="s">
        <v>51</v>
      </c>
      <c r="E311" s="18" t="s">
        <v>243</v>
      </c>
      <c r="F311" s="155" t="s">
        <v>329</v>
      </c>
      <c r="G311" s="429">
        <v>0</v>
      </c>
      <c r="H311" s="391">
        <v>388.66666666666669</v>
      </c>
      <c r="I311" s="391">
        <v>388.66666666666669</v>
      </c>
      <c r="J311" s="391">
        <v>388.66666666666669</v>
      </c>
      <c r="K311" s="391">
        <v>388.66666666666669</v>
      </c>
      <c r="L311" s="391">
        <v>388.66666666666669</v>
      </c>
      <c r="M311" s="391">
        <v>388.66666666666669</v>
      </c>
      <c r="N311" s="391">
        <v>388.66666666666669</v>
      </c>
      <c r="O311" s="391">
        <v>388.66666666666669</v>
      </c>
      <c r="P311" s="391">
        <v>388.66666666666669</v>
      </c>
      <c r="Q311" s="391">
        <v>388.66666666666669</v>
      </c>
      <c r="R311" s="400">
        <v>388.66666666666669</v>
      </c>
      <c r="S311" s="400">
        <f t="shared" si="33"/>
        <v>4275.333333333333</v>
      </c>
    </row>
    <row r="312" spans="1:19" x14ac:dyDescent="0.2">
      <c r="A312" s="219">
        <v>240</v>
      </c>
      <c r="B312" s="36"/>
      <c r="C312" s="9" t="s">
        <v>330</v>
      </c>
      <c r="D312" s="9"/>
      <c r="E312" s="104" t="s">
        <v>212</v>
      </c>
      <c r="F312" s="169" t="s">
        <v>326</v>
      </c>
      <c r="G312" s="429">
        <v>0</v>
      </c>
      <c r="H312" s="421">
        <v>0</v>
      </c>
      <c r="I312" s="421">
        <v>0</v>
      </c>
      <c r="J312" s="421">
        <v>0</v>
      </c>
      <c r="K312" s="421">
        <v>0</v>
      </c>
      <c r="L312" s="421">
        <v>0</v>
      </c>
      <c r="M312" s="421">
        <v>0</v>
      </c>
      <c r="N312" s="421">
        <v>0</v>
      </c>
      <c r="O312" s="421">
        <v>0</v>
      </c>
      <c r="P312" s="421">
        <v>0</v>
      </c>
      <c r="Q312" s="421">
        <v>0</v>
      </c>
      <c r="R312" s="422">
        <v>0</v>
      </c>
      <c r="S312" s="400">
        <f t="shared" si="33"/>
        <v>0</v>
      </c>
    </row>
    <row r="313" spans="1:19" x14ac:dyDescent="0.2">
      <c r="A313" s="219">
        <v>241</v>
      </c>
      <c r="B313" s="36"/>
      <c r="C313" s="9" t="s">
        <v>184</v>
      </c>
      <c r="D313" s="9"/>
      <c r="E313" s="18" t="s">
        <v>185</v>
      </c>
      <c r="F313" s="155" t="s">
        <v>326</v>
      </c>
      <c r="G313" s="429">
        <v>0</v>
      </c>
      <c r="H313" s="391">
        <v>0</v>
      </c>
      <c r="I313" s="391">
        <v>0</v>
      </c>
      <c r="J313" s="391">
        <v>0</v>
      </c>
      <c r="K313" s="391">
        <v>0</v>
      </c>
      <c r="L313" s="391">
        <v>0</v>
      </c>
      <c r="M313" s="391">
        <v>0</v>
      </c>
      <c r="N313" s="391">
        <v>0</v>
      </c>
      <c r="O313" s="391">
        <v>0</v>
      </c>
      <c r="P313" s="391">
        <v>0</v>
      </c>
      <c r="Q313" s="391">
        <v>0</v>
      </c>
      <c r="R313" s="400">
        <v>0</v>
      </c>
      <c r="S313" s="400">
        <f t="shared" si="33"/>
        <v>0</v>
      </c>
    </row>
    <row r="314" spans="1:19" x14ac:dyDescent="0.2">
      <c r="A314" s="219">
        <v>242</v>
      </c>
      <c r="B314" s="36"/>
      <c r="C314" s="9" t="s">
        <v>186</v>
      </c>
      <c r="D314" s="9"/>
      <c r="E314" s="18" t="s">
        <v>187</v>
      </c>
      <c r="F314" s="155" t="s">
        <v>326</v>
      </c>
      <c r="G314" s="429">
        <v>0</v>
      </c>
      <c r="H314" s="391">
        <v>0</v>
      </c>
      <c r="I314" s="391">
        <v>0</v>
      </c>
      <c r="J314" s="391">
        <v>0</v>
      </c>
      <c r="K314" s="391">
        <v>0</v>
      </c>
      <c r="L314" s="391">
        <v>0</v>
      </c>
      <c r="M314" s="391">
        <v>0</v>
      </c>
      <c r="N314" s="391">
        <v>0</v>
      </c>
      <c r="O314" s="391">
        <v>0</v>
      </c>
      <c r="P314" s="391">
        <v>0</v>
      </c>
      <c r="Q314" s="391">
        <v>0</v>
      </c>
      <c r="R314" s="400">
        <v>0</v>
      </c>
      <c r="S314" s="400">
        <f t="shared" si="33"/>
        <v>0</v>
      </c>
    </row>
    <row r="315" spans="1:19" x14ac:dyDescent="0.2">
      <c r="A315" s="219">
        <v>243</v>
      </c>
      <c r="B315" s="36"/>
      <c r="C315" s="9" t="s">
        <v>188</v>
      </c>
      <c r="D315" s="9"/>
      <c r="E315" s="18" t="s">
        <v>189</v>
      </c>
      <c r="F315" s="155" t="s">
        <v>326</v>
      </c>
      <c r="G315" s="429">
        <v>0</v>
      </c>
      <c r="H315" s="391">
        <v>0</v>
      </c>
      <c r="I315" s="391">
        <v>0</v>
      </c>
      <c r="J315" s="391">
        <v>0</v>
      </c>
      <c r="K315" s="391">
        <v>0</v>
      </c>
      <c r="L315" s="391">
        <v>0</v>
      </c>
      <c r="M315" s="391">
        <v>0</v>
      </c>
      <c r="N315" s="391">
        <v>0</v>
      </c>
      <c r="O315" s="391">
        <v>0</v>
      </c>
      <c r="P315" s="391">
        <v>0</v>
      </c>
      <c r="Q315" s="391">
        <v>0</v>
      </c>
      <c r="R315" s="400">
        <v>0</v>
      </c>
      <c r="S315" s="400">
        <f t="shared" si="33"/>
        <v>0</v>
      </c>
    </row>
    <row r="316" spans="1:19" x14ac:dyDescent="0.2">
      <c r="A316" s="219">
        <v>244</v>
      </c>
      <c r="B316" s="36"/>
      <c r="C316" s="9" t="s">
        <v>190</v>
      </c>
      <c r="D316" s="9"/>
      <c r="E316" s="18" t="s">
        <v>191</v>
      </c>
      <c r="F316" s="155" t="s">
        <v>326</v>
      </c>
      <c r="G316" s="429">
        <v>0</v>
      </c>
      <c r="H316" s="391">
        <v>0</v>
      </c>
      <c r="I316" s="391">
        <v>0</v>
      </c>
      <c r="J316" s="391">
        <v>0</v>
      </c>
      <c r="K316" s="391">
        <v>0</v>
      </c>
      <c r="L316" s="391">
        <v>0</v>
      </c>
      <c r="M316" s="391">
        <v>0</v>
      </c>
      <c r="N316" s="391">
        <v>0</v>
      </c>
      <c r="O316" s="391">
        <v>0</v>
      </c>
      <c r="P316" s="391">
        <v>0</v>
      </c>
      <c r="Q316" s="391">
        <v>0</v>
      </c>
      <c r="R316" s="400">
        <v>0</v>
      </c>
      <c r="S316" s="400">
        <f t="shared" si="33"/>
        <v>0</v>
      </c>
    </row>
    <row r="317" spans="1:19" x14ac:dyDescent="0.2">
      <c r="A317" s="219">
        <v>245</v>
      </c>
      <c r="B317" s="36"/>
      <c r="C317" s="9" t="s">
        <v>192</v>
      </c>
      <c r="D317" s="9"/>
      <c r="E317" s="18" t="s">
        <v>193</v>
      </c>
      <c r="F317" s="155" t="s">
        <v>326</v>
      </c>
      <c r="G317" s="429">
        <v>0</v>
      </c>
      <c r="H317" s="391">
        <v>0</v>
      </c>
      <c r="I317" s="391">
        <v>0</v>
      </c>
      <c r="J317" s="391">
        <v>0</v>
      </c>
      <c r="K317" s="391">
        <v>0</v>
      </c>
      <c r="L317" s="391">
        <v>0</v>
      </c>
      <c r="M317" s="391">
        <v>0</v>
      </c>
      <c r="N317" s="391">
        <v>0</v>
      </c>
      <c r="O317" s="391">
        <v>0</v>
      </c>
      <c r="P317" s="391">
        <v>0</v>
      </c>
      <c r="Q317" s="391">
        <v>0</v>
      </c>
      <c r="R317" s="400">
        <v>0</v>
      </c>
      <c r="S317" s="400">
        <f t="shared" si="33"/>
        <v>0</v>
      </c>
    </row>
    <row r="318" spans="1:19" x14ac:dyDescent="0.2">
      <c r="A318" s="219">
        <v>246</v>
      </c>
      <c r="B318" s="36"/>
      <c r="C318" s="9" t="s">
        <v>194</v>
      </c>
      <c r="D318" s="9"/>
      <c r="E318" s="18" t="s">
        <v>195</v>
      </c>
      <c r="F318" s="155" t="s">
        <v>326</v>
      </c>
      <c r="G318" s="429">
        <v>0</v>
      </c>
      <c r="H318" s="391">
        <v>0</v>
      </c>
      <c r="I318" s="391">
        <v>0</v>
      </c>
      <c r="J318" s="391">
        <v>0</v>
      </c>
      <c r="K318" s="391">
        <v>0</v>
      </c>
      <c r="L318" s="391">
        <v>0</v>
      </c>
      <c r="M318" s="391">
        <v>0</v>
      </c>
      <c r="N318" s="391">
        <v>0</v>
      </c>
      <c r="O318" s="391">
        <v>0</v>
      </c>
      <c r="P318" s="391">
        <v>0</v>
      </c>
      <c r="Q318" s="391">
        <v>0</v>
      </c>
      <c r="R318" s="400">
        <v>0</v>
      </c>
      <c r="S318" s="400">
        <f t="shared" si="33"/>
        <v>0</v>
      </c>
    </row>
    <row r="319" spans="1:19" x14ac:dyDescent="0.2">
      <c r="A319" s="219">
        <v>247</v>
      </c>
      <c r="B319" s="36"/>
      <c r="C319" s="85"/>
      <c r="D319" s="9"/>
      <c r="E319" s="18"/>
      <c r="F319" s="155"/>
      <c r="G319" s="429">
        <v>0</v>
      </c>
      <c r="H319" s="391">
        <v>0</v>
      </c>
      <c r="I319" s="391">
        <v>0</v>
      </c>
      <c r="J319" s="391">
        <v>0</v>
      </c>
      <c r="K319" s="391">
        <v>0</v>
      </c>
      <c r="L319" s="391">
        <v>0</v>
      </c>
      <c r="M319" s="391">
        <v>0</v>
      </c>
      <c r="N319" s="391">
        <v>0</v>
      </c>
      <c r="O319" s="391">
        <v>0</v>
      </c>
      <c r="P319" s="391">
        <v>0</v>
      </c>
      <c r="Q319" s="391">
        <v>0</v>
      </c>
      <c r="R319" s="400">
        <v>0</v>
      </c>
      <c r="S319" s="400">
        <f t="shared" si="33"/>
        <v>0</v>
      </c>
    </row>
    <row r="320" spans="1:19" x14ac:dyDescent="0.2">
      <c r="A320" s="219">
        <v>248</v>
      </c>
      <c r="B320" s="83"/>
      <c r="D320" s="13"/>
      <c r="E320" s="14"/>
      <c r="F320" s="163"/>
      <c r="G320" s="429">
        <v>0</v>
      </c>
      <c r="H320" s="412">
        <v>0</v>
      </c>
      <c r="I320" s="412">
        <v>0</v>
      </c>
      <c r="J320" s="412">
        <v>0</v>
      </c>
      <c r="K320" s="412">
        <v>0</v>
      </c>
      <c r="L320" s="412">
        <v>0</v>
      </c>
      <c r="M320" s="412">
        <v>0</v>
      </c>
      <c r="N320" s="412">
        <v>0</v>
      </c>
      <c r="O320" s="412">
        <v>0</v>
      </c>
      <c r="P320" s="412">
        <v>0</v>
      </c>
      <c r="Q320" s="412">
        <v>0</v>
      </c>
      <c r="R320" s="413">
        <v>0</v>
      </c>
      <c r="S320" s="400">
        <f t="shared" si="33"/>
        <v>0</v>
      </c>
    </row>
    <row r="321" spans="1:19" ht="15" x14ac:dyDescent="0.25">
      <c r="A321" s="220">
        <v>249</v>
      </c>
      <c r="B321" s="87" t="s">
        <v>331</v>
      </c>
      <c r="C321" s="51"/>
      <c r="D321" s="51"/>
      <c r="E321" s="49"/>
      <c r="F321" s="159"/>
      <c r="G321" s="438">
        <f t="shared" ref="G321:S321" si="34">SUM(G309:G320)</f>
        <v>0</v>
      </c>
      <c r="H321" s="415">
        <f t="shared" si="34"/>
        <v>767.66666666666674</v>
      </c>
      <c r="I321" s="415">
        <f t="shared" si="34"/>
        <v>767.66666666666674</v>
      </c>
      <c r="J321" s="415">
        <f t="shared" si="34"/>
        <v>767.66666666666674</v>
      </c>
      <c r="K321" s="415">
        <f t="shared" si="34"/>
        <v>767.66666666666674</v>
      </c>
      <c r="L321" s="415">
        <f t="shared" si="34"/>
        <v>767.66666666666674</v>
      </c>
      <c r="M321" s="415">
        <f t="shared" si="34"/>
        <v>767.66666666666674</v>
      </c>
      <c r="N321" s="415">
        <f t="shared" si="34"/>
        <v>767.66666666666674</v>
      </c>
      <c r="O321" s="415">
        <f t="shared" si="34"/>
        <v>767.66666666666674</v>
      </c>
      <c r="P321" s="415">
        <f t="shared" si="34"/>
        <v>767.66666666666674</v>
      </c>
      <c r="Q321" s="415">
        <f t="shared" si="34"/>
        <v>767.66666666666674</v>
      </c>
      <c r="R321" s="402">
        <f t="shared" si="34"/>
        <v>767.66666666666674</v>
      </c>
      <c r="S321" s="402">
        <f t="shared" si="34"/>
        <v>8444.3333333333321</v>
      </c>
    </row>
    <row r="322" spans="1:19" s="13" customFormat="1" ht="15" x14ac:dyDescent="0.25">
      <c r="A322" s="217"/>
      <c r="B322" s="81"/>
      <c r="C322" s="58"/>
      <c r="D322" s="58"/>
      <c r="E322" s="22"/>
      <c r="F322" s="158"/>
      <c r="G322" s="437"/>
      <c r="H322" s="394"/>
      <c r="I322" s="394"/>
      <c r="J322" s="394"/>
      <c r="K322" s="394"/>
      <c r="L322" s="394"/>
      <c r="M322" s="394"/>
      <c r="N322" s="394"/>
      <c r="O322" s="394"/>
      <c r="P322" s="394"/>
      <c r="Q322" s="394"/>
      <c r="R322" s="401"/>
      <c r="S322" s="401"/>
    </row>
    <row r="323" spans="1:19" s="13" customFormat="1" ht="15.75" thickBot="1" x14ac:dyDescent="0.3">
      <c r="A323" s="216"/>
      <c r="B323" s="34"/>
      <c r="C323" s="20"/>
      <c r="D323" s="20"/>
      <c r="E323" s="14"/>
      <c r="F323" s="163"/>
      <c r="G323" s="411"/>
      <c r="H323" s="412"/>
      <c r="I323" s="412"/>
      <c r="J323" s="412"/>
      <c r="K323" s="412"/>
      <c r="L323" s="412"/>
      <c r="M323" s="412"/>
      <c r="N323" s="412"/>
      <c r="O323" s="412"/>
      <c r="P323" s="412"/>
      <c r="Q323" s="412"/>
      <c r="R323" s="413"/>
      <c r="S323" s="413"/>
    </row>
    <row r="324" spans="1:19" ht="15.75" thickBot="1" x14ac:dyDescent="0.3">
      <c r="A324" s="225">
        <v>250</v>
      </c>
      <c r="B324" s="75" t="s">
        <v>332</v>
      </c>
      <c r="C324" s="76"/>
      <c r="D324" s="76"/>
      <c r="E324" s="45"/>
      <c r="F324" s="162"/>
      <c r="G324" s="430">
        <f t="shared" ref="G324:S324" si="35">G169+G186+G201+G226+G251+G283+G305+G321</f>
        <v>95233.587654382354</v>
      </c>
      <c r="H324" s="416">
        <f t="shared" si="35"/>
        <v>200460.19265667172</v>
      </c>
      <c r="I324" s="416">
        <f t="shared" si="35"/>
        <v>207493.00765667172</v>
      </c>
      <c r="J324" s="416">
        <f t="shared" si="35"/>
        <v>207493.00765667172</v>
      </c>
      <c r="K324" s="416">
        <f t="shared" si="35"/>
        <v>207493.00765667172</v>
      </c>
      <c r="L324" s="416">
        <f t="shared" si="35"/>
        <v>207493.00765667172</v>
      </c>
      <c r="M324" s="416">
        <f t="shared" si="35"/>
        <v>207493.00765667172</v>
      </c>
      <c r="N324" s="416">
        <f t="shared" si="35"/>
        <v>207493.00765667172</v>
      </c>
      <c r="O324" s="416">
        <f t="shared" si="35"/>
        <v>207493.00765667172</v>
      </c>
      <c r="P324" s="416">
        <f t="shared" si="35"/>
        <v>207493.00765667172</v>
      </c>
      <c r="Q324" s="416">
        <f t="shared" si="35"/>
        <v>207493.00765667172</v>
      </c>
      <c r="R324" s="409">
        <f t="shared" si="35"/>
        <v>177352.11098771569</v>
      </c>
      <c r="S324" s="409">
        <f t="shared" si="35"/>
        <v>2340482.9602088155</v>
      </c>
    </row>
    <row r="325" spans="1:19" ht="15" thickBot="1" x14ac:dyDescent="0.25">
      <c r="A325" s="224"/>
      <c r="B325" s="35"/>
      <c r="C325" s="12"/>
      <c r="D325" s="12"/>
      <c r="E325" s="97"/>
      <c r="F325" s="160"/>
      <c r="G325" s="439"/>
      <c r="H325" s="403"/>
      <c r="I325" s="403"/>
      <c r="J325" s="403"/>
      <c r="K325" s="403"/>
      <c r="L325" s="403"/>
      <c r="M325" s="403"/>
      <c r="N325" s="403"/>
      <c r="O325" s="403"/>
      <c r="P325" s="403"/>
      <c r="Q325" s="403"/>
      <c r="R325" s="404"/>
      <c r="S325" s="404"/>
    </row>
    <row r="326" spans="1:19" ht="15.75" thickBot="1" x14ac:dyDescent="0.3">
      <c r="A326" s="225"/>
      <c r="B326" s="75" t="s">
        <v>333</v>
      </c>
      <c r="C326" s="76"/>
      <c r="D326" s="76"/>
      <c r="E326" s="121"/>
      <c r="F326" s="170"/>
      <c r="G326" s="446"/>
      <c r="H326" s="423"/>
      <c r="I326" s="423"/>
      <c r="J326" s="423"/>
      <c r="K326" s="423"/>
      <c r="L326" s="423"/>
      <c r="M326" s="423"/>
      <c r="N326" s="423"/>
      <c r="O326" s="423"/>
      <c r="P326" s="423"/>
      <c r="Q326" s="423"/>
      <c r="R326" s="424"/>
      <c r="S326" s="424"/>
    </row>
    <row r="327" spans="1:19" s="4" customFormat="1" ht="15" x14ac:dyDescent="0.25">
      <c r="A327" s="219"/>
      <c r="B327" s="88" t="s">
        <v>334</v>
      </c>
      <c r="C327" s="53"/>
      <c r="D327" s="53"/>
      <c r="E327" s="77"/>
      <c r="F327" s="166"/>
      <c r="G327" s="147"/>
      <c r="H327" s="148"/>
      <c r="I327" s="148"/>
      <c r="J327" s="148"/>
      <c r="K327" s="148"/>
      <c r="L327" s="148"/>
      <c r="M327" s="148"/>
      <c r="N327" s="148"/>
      <c r="O327" s="148"/>
      <c r="P327" s="148"/>
      <c r="Q327" s="148"/>
      <c r="R327" s="149"/>
      <c r="S327" s="149"/>
    </row>
    <row r="328" spans="1:19" x14ac:dyDescent="0.2">
      <c r="A328" s="219">
        <v>251</v>
      </c>
      <c r="B328" s="36"/>
      <c r="C328" s="9" t="s">
        <v>335</v>
      </c>
      <c r="D328" s="9"/>
      <c r="E328" s="18" t="s">
        <v>272</v>
      </c>
      <c r="F328" s="155">
        <v>3100</v>
      </c>
      <c r="G328" s="429">
        <v>0</v>
      </c>
      <c r="H328" s="391">
        <v>0</v>
      </c>
      <c r="I328" s="391">
        <v>0</v>
      </c>
      <c r="J328" s="391">
        <v>0</v>
      </c>
      <c r="K328" s="391">
        <v>0</v>
      </c>
      <c r="L328" s="391">
        <v>0</v>
      </c>
      <c r="M328" s="391">
        <v>0</v>
      </c>
      <c r="N328" s="391">
        <v>0</v>
      </c>
      <c r="O328" s="391">
        <v>0</v>
      </c>
      <c r="P328" s="391">
        <v>0</v>
      </c>
      <c r="Q328" s="391">
        <v>0</v>
      </c>
      <c r="R328" s="400">
        <v>0</v>
      </c>
      <c r="S328" s="400">
        <f t="shared" ref="S328:S346" si="36">SUM(G328:R328)</f>
        <v>0</v>
      </c>
    </row>
    <row r="329" spans="1:19" x14ac:dyDescent="0.2">
      <c r="A329" s="219">
        <v>252</v>
      </c>
      <c r="B329" s="36"/>
      <c r="C329" s="9" t="s">
        <v>336</v>
      </c>
      <c r="D329" s="9"/>
      <c r="E329" s="18" t="s">
        <v>308</v>
      </c>
      <c r="F329" s="155" t="s">
        <v>337</v>
      </c>
      <c r="G329" s="429">
        <v>0</v>
      </c>
      <c r="H329" s="391">
        <v>0</v>
      </c>
      <c r="I329" s="391">
        <v>0</v>
      </c>
      <c r="J329" s="391">
        <v>0</v>
      </c>
      <c r="K329" s="391">
        <v>0</v>
      </c>
      <c r="L329" s="391">
        <v>0</v>
      </c>
      <c r="M329" s="391">
        <v>0</v>
      </c>
      <c r="N329" s="391">
        <v>0</v>
      </c>
      <c r="O329" s="391">
        <v>0</v>
      </c>
      <c r="P329" s="391">
        <v>0</v>
      </c>
      <c r="Q329" s="391">
        <v>0</v>
      </c>
      <c r="R329" s="400">
        <v>0</v>
      </c>
      <c r="S329" s="400">
        <f t="shared" si="36"/>
        <v>0</v>
      </c>
    </row>
    <row r="330" spans="1:19" x14ac:dyDescent="0.2">
      <c r="A330" s="219">
        <v>253</v>
      </c>
      <c r="B330" s="36"/>
      <c r="C330" s="9" t="s">
        <v>338</v>
      </c>
      <c r="D330" s="9"/>
      <c r="E330" s="18" t="s">
        <v>339</v>
      </c>
      <c r="F330" s="155" t="s">
        <v>337</v>
      </c>
      <c r="G330" s="429">
        <v>0</v>
      </c>
      <c r="H330" s="391">
        <v>27664.9</v>
      </c>
      <c r="I330" s="391">
        <f>H330</f>
        <v>27664.9</v>
      </c>
      <c r="J330" s="391">
        <f t="shared" ref="J330:Q330" si="37">I330</f>
        <v>27664.9</v>
      </c>
      <c r="K330" s="391">
        <f t="shared" si="37"/>
        <v>27664.9</v>
      </c>
      <c r="L330" s="391">
        <f t="shared" si="37"/>
        <v>27664.9</v>
      </c>
      <c r="M330" s="391">
        <f t="shared" si="37"/>
        <v>27664.9</v>
      </c>
      <c r="N330" s="391">
        <f t="shared" si="37"/>
        <v>27664.9</v>
      </c>
      <c r="O330" s="391">
        <f t="shared" si="37"/>
        <v>27664.9</v>
      </c>
      <c r="P330" s="391">
        <f t="shared" si="37"/>
        <v>27664.9</v>
      </c>
      <c r="Q330" s="391">
        <f t="shared" si="37"/>
        <v>27664.9</v>
      </c>
      <c r="R330" s="400">
        <v>0</v>
      </c>
      <c r="S330" s="400">
        <f t="shared" si="36"/>
        <v>276649</v>
      </c>
    </row>
    <row r="331" spans="1:19" x14ac:dyDescent="0.2">
      <c r="A331" s="219">
        <v>254</v>
      </c>
      <c r="B331" s="36"/>
      <c r="C331" s="9" t="s">
        <v>340</v>
      </c>
      <c r="D331" s="9"/>
      <c r="E331" s="18" t="s">
        <v>230</v>
      </c>
      <c r="F331" s="155" t="s">
        <v>337</v>
      </c>
      <c r="G331" s="429">
        <v>0</v>
      </c>
      <c r="H331" s="391">
        <v>0</v>
      </c>
      <c r="I331" s="391">
        <v>0</v>
      </c>
      <c r="J331" s="391">
        <v>0</v>
      </c>
      <c r="K331" s="391">
        <v>0</v>
      </c>
      <c r="L331" s="391">
        <v>0</v>
      </c>
      <c r="M331" s="391">
        <v>0</v>
      </c>
      <c r="N331" s="391">
        <v>0</v>
      </c>
      <c r="O331" s="391">
        <v>0</v>
      </c>
      <c r="P331" s="391">
        <v>0</v>
      </c>
      <c r="Q331" s="391">
        <v>0</v>
      </c>
      <c r="R331" s="400">
        <v>0</v>
      </c>
      <c r="S331" s="400">
        <f t="shared" si="36"/>
        <v>0</v>
      </c>
    </row>
    <row r="332" spans="1:19" x14ac:dyDescent="0.2">
      <c r="A332" s="219">
        <v>255</v>
      </c>
      <c r="B332" s="36"/>
      <c r="C332" s="9" t="s">
        <v>207</v>
      </c>
      <c r="D332" s="9"/>
      <c r="E332" s="18" t="s">
        <v>177</v>
      </c>
      <c r="F332" s="155" t="s">
        <v>337</v>
      </c>
      <c r="G332" s="429">
        <v>0</v>
      </c>
      <c r="H332" s="391">
        <v>0</v>
      </c>
      <c r="I332" s="391">
        <v>0</v>
      </c>
      <c r="J332" s="391">
        <v>0</v>
      </c>
      <c r="K332" s="391">
        <v>0</v>
      </c>
      <c r="L332" s="391">
        <v>0</v>
      </c>
      <c r="M332" s="391">
        <v>0</v>
      </c>
      <c r="N332" s="391">
        <v>0</v>
      </c>
      <c r="O332" s="391">
        <v>0</v>
      </c>
      <c r="P332" s="391">
        <v>0</v>
      </c>
      <c r="Q332" s="391">
        <v>0</v>
      </c>
      <c r="R332" s="400">
        <v>0</v>
      </c>
      <c r="S332" s="400">
        <f t="shared" si="36"/>
        <v>0</v>
      </c>
    </row>
    <row r="333" spans="1:19" x14ac:dyDescent="0.2">
      <c r="A333" s="219">
        <v>256</v>
      </c>
      <c r="B333" s="36"/>
      <c r="C333" s="9" t="s">
        <v>341</v>
      </c>
      <c r="D333" s="9"/>
      <c r="E333" s="18" t="s">
        <v>342</v>
      </c>
      <c r="F333" s="155" t="s">
        <v>337</v>
      </c>
      <c r="G333" s="429">
        <v>0</v>
      </c>
      <c r="H333" s="391">
        <v>0</v>
      </c>
      <c r="I333" s="391">
        <v>0</v>
      </c>
      <c r="J333" s="391">
        <v>0</v>
      </c>
      <c r="K333" s="391">
        <v>0</v>
      </c>
      <c r="L333" s="391">
        <v>0</v>
      </c>
      <c r="M333" s="391">
        <v>0</v>
      </c>
      <c r="N333" s="391">
        <v>0</v>
      </c>
      <c r="O333" s="391">
        <v>0</v>
      </c>
      <c r="P333" s="391">
        <v>0</v>
      </c>
      <c r="Q333" s="391">
        <v>0</v>
      </c>
      <c r="R333" s="400">
        <v>0</v>
      </c>
      <c r="S333" s="400">
        <f t="shared" si="36"/>
        <v>0</v>
      </c>
    </row>
    <row r="334" spans="1:19" x14ac:dyDescent="0.2">
      <c r="A334" s="219">
        <v>257</v>
      </c>
      <c r="B334" s="36"/>
      <c r="C334" s="9" t="s">
        <v>343</v>
      </c>
      <c r="D334" s="9"/>
      <c r="E334" s="18" t="s">
        <v>277</v>
      </c>
      <c r="F334" s="155" t="s">
        <v>337</v>
      </c>
      <c r="G334" s="429">
        <v>0</v>
      </c>
      <c r="H334" s="391">
        <v>0</v>
      </c>
      <c r="I334" s="391">
        <v>0</v>
      </c>
      <c r="J334" s="391">
        <v>0</v>
      </c>
      <c r="K334" s="391">
        <v>0</v>
      </c>
      <c r="L334" s="391">
        <v>0</v>
      </c>
      <c r="M334" s="391">
        <v>0</v>
      </c>
      <c r="N334" s="391">
        <v>0</v>
      </c>
      <c r="O334" s="391">
        <v>0</v>
      </c>
      <c r="P334" s="391">
        <v>0</v>
      </c>
      <c r="Q334" s="391">
        <v>0</v>
      </c>
      <c r="R334" s="400">
        <v>0</v>
      </c>
      <c r="S334" s="400">
        <f t="shared" si="36"/>
        <v>0</v>
      </c>
    </row>
    <row r="335" spans="1:19" x14ac:dyDescent="0.2">
      <c r="A335" s="219">
        <v>258</v>
      </c>
      <c r="B335" s="36"/>
      <c r="C335" s="9" t="s">
        <v>344</v>
      </c>
      <c r="D335" s="9"/>
      <c r="E335" s="18" t="s">
        <v>345</v>
      </c>
      <c r="F335" s="155">
        <v>3100</v>
      </c>
      <c r="G335" s="429">
        <v>0</v>
      </c>
      <c r="H335" s="391">
        <v>0</v>
      </c>
      <c r="I335" s="391">
        <v>0</v>
      </c>
      <c r="J335" s="391">
        <v>0</v>
      </c>
      <c r="K335" s="391">
        <v>0</v>
      </c>
      <c r="L335" s="391">
        <v>0</v>
      </c>
      <c r="M335" s="391">
        <v>0</v>
      </c>
      <c r="N335" s="391">
        <v>0</v>
      </c>
      <c r="O335" s="391">
        <v>0</v>
      </c>
      <c r="P335" s="391">
        <v>0</v>
      </c>
      <c r="Q335" s="391">
        <v>0</v>
      </c>
      <c r="R335" s="400">
        <v>0</v>
      </c>
      <c r="S335" s="400">
        <f t="shared" si="36"/>
        <v>0</v>
      </c>
    </row>
    <row r="336" spans="1:19" x14ac:dyDescent="0.2">
      <c r="A336" s="219">
        <v>259</v>
      </c>
      <c r="B336" s="36"/>
      <c r="C336" s="9" t="s">
        <v>263</v>
      </c>
      <c r="D336" s="9"/>
      <c r="E336" s="18" t="s">
        <v>264</v>
      </c>
      <c r="F336" s="155" t="s">
        <v>337</v>
      </c>
      <c r="G336" s="429">
        <v>0</v>
      </c>
      <c r="H336" s="391">
        <v>0</v>
      </c>
      <c r="I336" s="391">
        <v>0</v>
      </c>
      <c r="J336" s="391">
        <v>0</v>
      </c>
      <c r="K336" s="391">
        <v>0</v>
      </c>
      <c r="L336" s="391">
        <v>0</v>
      </c>
      <c r="M336" s="391">
        <v>0</v>
      </c>
      <c r="N336" s="391">
        <v>0</v>
      </c>
      <c r="O336" s="391">
        <v>0</v>
      </c>
      <c r="P336" s="391">
        <v>0</v>
      </c>
      <c r="Q336" s="391">
        <v>0</v>
      </c>
      <c r="R336" s="400">
        <v>0</v>
      </c>
      <c r="S336" s="400">
        <f t="shared" si="36"/>
        <v>0</v>
      </c>
    </row>
    <row r="337" spans="1:19" x14ac:dyDescent="0.2">
      <c r="A337" s="219">
        <v>260</v>
      </c>
      <c r="B337" s="36"/>
      <c r="C337" s="9" t="s">
        <v>180</v>
      </c>
      <c r="D337" s="9"/>
      <c r="E337" s="18" t="s">
        <v>181</v>
      </c>
      <c r="F337" s="155" t="s">
        <v>337</v>
      </c>
      <c r="G337" s="429">
        <v>0</v>
      </c>
      <c r="H337" s="391">
        <v>0</v>
      </c>
      <c r="I337" s="391">
        <v>0</v>
      </c>
      <c r="J337" s="391">
        <v>0</v>
      </c>
      <c r="K337" s="391">
        <v>0</v>
      </c>
      <c r="L337" s="391">
        <v>0</v>
      </c>
      <c r="M337" s="391">
        <v>0</v>
      </c>
      <c r="N337" s="391">
        <v>0</v>
      </c>
      <c r="O337" s="391">
        <v>0</v>
      </c>
      <c r="P337" s="391">
        <v>0</v>
      </c>
      <c r="Q337" s="391">
        <v>0</v>
      </c>
      <c r="R337" s="400">
        <v>0</v>
      </c>
      <c r="S337" s="400">
        <f t="shared" si="36"/>
        <v>0</v>
      </c>
    </row>
    <row r="338" spans="1:19" x14ac:dyDescent="0.2">
      <c r="A338" s="219">
        <v>261</v>
      </c>
      <c r="B338" s="36"/>
      <c r="C338" s="9" t="s">
        <v>184</v>
      </c>
      <c r="D338" s="9"/>
      <c r="E338" s="18" t="s">
        <v>185</v>
      </c>
      <c r="F338" s="155" t="s">
        <v>346</v>
      </c>
      <c r="G338" s="429">
        <v>0</v>
      </c>
      <c r="H338" s="391">
        <v>0</v>
      </c>
      <c r="I338" s="391">
        <v>0</v>
      </c>
      <c r="J338" s="391">
        <v>0</v>
      </c>
      <c r="K338" s="391">
        <v>0</v>
      </c>
      <c r="L338" s="391">
        <v>0</v>
      </c>
      <c r="M338" s="391">
        <v>0</v>
      </c>
      <c r="N338" s="391">
        <v>0</v>
      </c>
      <c r="O338" s="391">
        <v>0</v>
      </c>
      <c r="P338" s="391">
        <v>0</v>
      </c>
      <c r="Q338" s="391">
        <v>0</v>
      </c>
      <c r="R338" s="400">
        <v>0</v>
      </c>
      <c r="S338" s="400">
        <f t="shared" si="36"/>
        <v>0</v>
      </c>
    </row>
    <row r="339" spans="1:19" x14ac:dyDescent="0.2">
      <c r="A339" s="219">
        <v>262</v>
      </c>
      <c r="B339" s="36"/>
      <c r="C339" s="9" t="s">
        <v>186</v>
      </c>
      <c r="D339" s="9"/>
      <c r="E339" s="18" t="s">
        <v>187</v>
      </c>
      <c r="F339" s="155" t="s">
        <v>346</v>
      </c>
      <c r="G339" s="429">
        <v>0</v>
      </c>
      <c r="H339" s="391">
        <v>0</v>
      </c>
      <c r="I339" s="391">
        <v>0</v>
      </c>
      <c r="J339" s="391">
        <v>0</v>
      </c>
      <c r="K339" s="391">
        <v>0</v>
      </c>
      <c r="L339" s="391">
        <v>0</v>
      </c>
      <c r="M339" s="391">
        <v>0</v>
      </c>
      <c r="N339" s="391">
        <v>0</v>
      </c>
      <c r="O339" s="391">
        <v>0</v>
      </c>
      <c r="P339" s="391">
        <v>0</v>
      </c>
      <c r="Q339" s="391">
        <v>0</v>
      </c>
      <c r="R339" s="400">
        <v>0</v>
      </c>
      <c r="S339" s="400">
        <f t="shared" si="36"/>
        <v>0</v>
      </c>
    </row>
    <row r="340" spans="1:19" x14ac:dyDescent="0.2">
      <c r="A340" s="219">
        <v>263</v>
      </c>
      <c r="B340" s="36"/>
      <c r="C340" s="9" t="s">
        <v>188</v>
      </c>
      <c r="D340" s="9"/>
      <c r="E340" s="18" t="s">
        <v>189</v>
      </c>
      <c r="F340" s="155" t="s">
        <v>346</v>
      </c>
      <c r="G340" s="429">
        <v>0</v>
      </c>
      <c r="H340" s="391">
        <v>0</v>
      </c>
      <c r="I340" s="391">
        <v>0</v>
      </c>
      <c r="J340" s="391">
        <v>0</v>
      </c>
      <c r="K340" s="391">
        <v>0</v>
      </c>
      <c r="L340" s="391">
        <v>0</v>
      </c>
      <c r="M340" s="391">
        <v>0</v>
      </c>
      <c r="N340" s="391">
        <v>0</v>
      </c>
      <c r="O340" s="391">
        <v>0</v>
      </c>
      <c r="P340" s="391">
        <v>0</v>
      </c>
      <c r="Q340" s="391">
        <v>0</v>
      </c>
      <c r="R340" s="400">
        <v>0</v>
      </c>
      <c r="S340" s="400">
        <f t="shared" si="36"/>
        <v>0</v>
      </c>
    </row>
    <row r="341" spans="1:19" x14ac:dyDescent="0.2">
      <c r="A341" s="219">
        <v>264</v>
      </c>
      <c r="B341" s="36"/>
      <c r="C341" s="9" t="s">
        <v>190</v>
      </c>
      <c r="D341" s="9"/>
      <c r="E341" s="18" t="s">
        <v>191</v>
      </c>
      <c r="F341" s="155" t="s">
        <v>346</v>
      </c>
      <c r="G341" s="429">
        <v>0</v>
      </c>
      <c r="H341" s="391">
        <v>0</v>
      </c>
      <c r="I341" s="391">
        <v>0</v>
      </c>
      <c r="J341" s="391">
        <v>0</v>
      </c>
      <c r="K341" s="391">
        <v>0</v>
      </c>
      <c r="L341" s="391">
        <v>0</v>
      </c>
      <c r="M341" s="391">
        <v>0</v>
      </c>
      <c r="N341" s="391">
        <v>0</v>
      </c>
      <c r="O341" s="391">
        <v>0</v>
      </c>
      <c r="P341" s="391">
        <v>0</v>
      </c>
      <c r="Q341" s="391">
        <v>0</v>
      </c>
      <c r="R341" s="400">
        <v>0</v>
      </c>
      <c r="S341" s="400">
        <f t="shared" si="36"/>
        <v>0</v>
      </c>
    </row>
    <row r="342" spans="1:19" x14ac:dyDescent="0.2">
      <c r="A342" s="219">
        <v>265</v>
      </c>
      <c r="B342" s="36"/>
      <c r="C342" s="9" t="s">
        <v>192</v>
      </c>
      <c r="D342" s="9"/>
      <c r="E342" s="18" t="s">
        <v>193</v>
      </c>
      <c r="F342" s="155" t="s">
        <v>346</v>
      </c>
      <c r="G342" s="429">
        <v>0</v>
      </c>
      <c r="H342" s="391">
        <v>0</v>
      </c>
      <c r="I342" s="391">
        <v>0</v>
      </c>
      <c r="J342" s="391">
        <v>0</v>
      </c>
      <c r="K342" s="391">
        <v>0</v>
      </c>
      <c r="L342" s="391">
        <v>0</v>
      </c>
      <c r="M342" s="391">
        <v>0</v>
      </c>
      <c r="N342" s="391">
        <v>0</v>
      </c>
      <c r="O342" s="391">
        <v>0</v>
      </c>
      <c r="P342" s="391">
        <v>0</v>
      </c>
      <c r="Q342" s="391">
        <v>0</v>
      </c>
      <c r="R342" s="400">
        <v>0</v>
      </c>
      <c r="S342" s="400">
        <f t="shared" si="36"/>
        <v>0</v>
      </c>
    </row>
    <row r="343" spans="1:19" x14ac:dyDescent="0.2">
      <c r="A343" s="219">
        <v>266</v>
      </c>
      <c r="B343" s="36"/>
      <c r="C343" s="9" t="s">
        <v>194</v>
      </c>
      <c r="D343" s="9"/>
      <c r="E343" s="18" t="s">
        <v>195</v>
      </c>
      <c r="F343" s="155" t="s">
        <v>346</v>
      </c>
      <c r="G343" s="429">
        <v>0</v>
      </c>
      <c r="H343" s="391">
        <v>0</v>
      </c>
      <c r="I343" s="391">
        <v>0</v>
      </c>
      <c r="J343" s="391">
        <v>0</v>
      </c>
      <c r="K343" s="391">
        <v>0</v>
      </c>
      <c r="L343" s="391">
        <v>0</v>
      </c>
      <c r="M343" s="391">
        <v>0</v>
      </c>
      <c r="N343" s="391">
        <v>0</v>
      </c>
      <c r="O343" s="391">
        <v>0</v>
      </c>
      <c r="P343" s="391">
        <v>0</v>
      </c>
      <c r="Q343" s="391">
        <v>0</v>
      </c>
      <c r="R343" s="400">
        <v>0</v>
      </c>
      <c r="S343" s="400">
        <f t="shared" si="36"/>
        <v>0</v>
      </c>
    </row>
    <row r="344" spans="1:19" x14ac:dyDescent="0.2">
      <c r="A344" s="219">
        <v>267</v>
      </c>
      <c r="B344" s="36"/>
      <c r="C344" s="85" t="s">
        <v>196</v>
      </c>
      <c r="D344" s="9"/>
      <c r="E344" s="18"/>
      <c r="F344" s="155"/>
      <c r="G344" s="429">
        <v>0</v>
      </c>
      <c r="H344" s="391">
        <v>0</v>
      </c>
      <c r="I344" s="391">
        <v>0</v>
      </c>
      <c r="J344" s="391">
        <v>0</v>
      </c>
      <c r="K344" s="391">
        <v>0</v>
      </c>
      <c r="L344" s="391">
        <v>0</v>
      </c>
      <c r="M344" s="391">
        <v>0</v>
      </c>
      <c r="N344" s="391">
        <v>0</v>
      </c>
      <c r="O344" s="391">
        <v>0</v>
      </c>
      <c r="P344" s="391">
        <v>0</v>
      </c>
      <c r="Q344" s="391">
        <v>0</v>
      </c>
      <c r="R344" s="400">
        <v>0</v>
      </c>
      <c r="S344" s="400">
        <f t="shared" si="36"/>
        <v>0</v>
      </c>
    </row>
    <row r="345" spans="1:19" x14ac:dyDescent="0.2">
      <c r="A345" s="219">
        <v>268</v>
      </c>
      <c r="B345" s="36"/>
      <c r="C345" s="85"/>
      <c r="D345" s="9"/>
      <c r="E345" s="18"/>
      <c r="F345" s="155"/>
      <c r="G345" s="429">
        <v>0</v>
      </c>
      <c r="H345" s="391">
        <v>0</v>
      </c>
      <c r="I345" s="391">
        <v>0</v>
      </c>
      <c r="J345" s="391">
        <v>0</v>
      </c>
      <c r="K345" s="391">
        <v>0</v>
      </c>
      <c r="L345" s="391">
        <v>0</v>
      </c>
      <c r="M345" s="391">
        <v>0</v>
      </c>
      <c r="N345" s="391">
        <v>0</v>
      </c>
      <c r="O345" s="391">
        <v>0</v>
      </c>
      <c r="P345" s="391">
        <v>0</v>
      </c>
      <c r="Q345" s="391">
        <v>0</v>
      </c>
      <c r="R345" s="400">
        <v>0</v>
      </c>
      <c r="S345" s="400">
        <f t="shared" si="36"/>
        <v>0</v>
      </c>
    </row>
    <row r="346" spans="1:19" x14ac:dyDescent="0.2">
      <c r="A346" s="219">
        <v>269</v>
      </c>
      <c r="B346" s="83"/>
      <c r="D346" s="13"/>
      <c r="E346" s="14"/>
      <c r="F346" s="163"/>
      <c r="G346" s="429">
        <v>0</v>
      </c>
      <c r="H346" s="412">
        <v>0</v>
      </c>
      <c r="I346" s="412">
        <v>0</v>
      </c>
      <c r="J346" s="412">
        <v>0</v>
      </c>
      <c r="K346" s="412">
        <v>0</v>
      </c>
      <c r="L346" s="412">
        <v>0</v>
      </c>
      <c r="M346" s="412">
        <v>0</v>
      </c>
      <c r="N346" s="412">
        <v>0</v>
      </c>
      <c r="O346" s="412">
        <v>0</v>
      </c>
      <c r="P346" s="412">
        <v>0</v>
      </c>
      <c r="Q346" s="412">
        <v>0</v>
      </c>
      <c r="R346" s="413">
        <v>0</v>
      </c>
      <c r="S346" s="400">
        <f t="shared" si="36"/>
        <v>0</v>
      </c>
    </row>
    <row r="347" spans="1:19" ht="15" x14ac:dyDescent="0.25">
      <c r="A347" s="220">
        <v>270</v>
      </c>
      <c r="B347" s="87" t="s">
        <v>347</v>
      </c>
      <c r="C347" s="51"/>
      <c r="D347" s="51"/>
      <c r="E347" s="49"/>
      <c r="F347" s="159"/>
      <c r="G347" s="438">
        <f t="shared" ref="G347:S347" si="38">SUM(G328:G346)</f>
        <v>0</v>
      </c>
      <c r="H347" s="415">
        <f t="shared" si="38"/>
        <v>27664.9</v>
      </c>
      <c r="I347" s="415">
        <f t="shared" si="38"/>
        <v>27664.9</v>
      </c>
      <c r="J347" s="415">
        <f t="shared" si="38"/>
        <v>27664.9</v>
      </c>
      <c r="K347" s="415">
        <f t="shared" si="38"/>
        <v>27664.9</v>
      </c>
      <c r="L347" s="415">
        <f t="shared" si="38"/>
        <v>27664.9</v>
      </c>
      <c r="M347" s="415">
        <f t="shared" si="38"/>
        <v>27664.9</v>
      </c>
      <c r="N347" s="415">
        <f t="shared" si="38"/>
        <v>27664.9</v>
      </c>
      <c r="O347" s="415">
        <f t="shared" si="38"/>
        <v>27664.9</v>
      </c>
      <c r="P347" s="415">
        <f t="shared" si="38"/>
        <v>27664.9</v>
      </c>
      <c r="Q347" s="415">
        <f t="shared" si="38"/>
        <v>27664.9</v>
      </c>
      <c r="R347" s="402">
        <f t="shared" si="38"/>
        <v>0</v>
      </c>
      <c r="S347" s="402">
        <f t="shared" si="38"/>
        <v>276649</v>
      </c>
    </row>
    <row r="348" spans="1:19" ht="6" customHeight="1" x14ac:dyDescent="0.2">
      <c r="A348" s="219"/>
      <c r="B348" s="36"/>
      <c r="C348" s="9"/>
      <c r="D348" s="9"/>
      <c r="E348" s="18"/>
      <c r="F348" s="155"/>
      <c r="G348" s="429"/>
      <c r="H348" s="391"/>
      <c r="I348" s="391"/>
      <c r="J348" s="391"/>
      <c r="K348" s="391"/>
      <c r="L348" s="391"/>
      <c r="M348" s="391"/>
      <c r="N348" s="391"/>
      <c r="O348" s="391"/>
      <c r="P348" s="391"/>
      <c r="Q348" s="391"/>
      <c r="R348" s="400"/>
      <c r="S348" s="400"/>
    </row>
    <row r="349" spans="1:19" ht="7.5" customHeight="1" x14ac:dyDescent="0.2">
      <c r="A349" s="219"/>
      <c r="B349" s="36"/>
      <c r="C349" s="9"/>
      <c r="D349" s="9"/>
      <c r="E349" s="18"/>
      <c r="F349" s="155"/>
      <c r="G349" s="429"/>
      <c r="H349" s="391"/>
      <c r="I349" s="391"/>
      <c r="J349" s="391"/>
      <c r="K349" s="391"/>
      <c r="L349" s="391"/>
      <c r="M349" s="391"/>
      <c r="N349" s="391"/>
      <c r="O349" s="391"/>
      <c r="P349" s="391"/>
      <c r="Q349" s="391"/>
      <c r="R349" s="400"/>
      <c r="S349" s="400"/>
    </row>
    <row r="350" spans="1:19" s="4" customFormat="1" ht="15" x14ac:dyDescent="0.25">
      <c r="A350" s="219" t="s">
        <v>157</v>
      </c>
      <c r="B350" s="88" t="s">
        <v>348</v>
      </c>
      <c r="C350" s="53"/>
      <c r="D350" s="53"/>
      <c r="E350" s="61"/>
      <c r="F350" s="154"/>
      <c r="G350" s="414"/>
      <c r="H350" s="388"/>
      <c r="I350" s="388"/>
      <c r="J350" s="388"/>
      <c r="K350" s="388"/>
      <c r="L350" s="388"/>
      <c r="M350" s="388"/>
      <c r="N350" s="388"/>
      <c r="O350" s="388"/>
      <c r="P350" s="388"/>
      <c r="Q350" s="388"/>
      <c r="R350" s="399"/>
      <c r="S350" s="399"/>
    </row>
    <row r="351" spans="1:19" x14ac:dyDescent="0.2">
      <c r="A351" s="219">
        <v>271</v>
      </c>
      <c r="B351" s="36"/>
      <c r="C351" s="9" t="s">
        <v>160</v>
      </c>
      <c r="D351" s="9"/>
      <c r="E351" s="18" t="s">
        <v>272</v>
      </c>
      <c r="F351" s="155" t="s">
        <v>349</v>
      </c>
      <c r="G351" s="429">
        <v>0</v>
      </c>
      <c r="H351" s="391">
        <v>0</v>
      </c>
      <c r="I351" s="391">
        <v>0</v>
      </c>
      <c r="J351" s="391">
        <v>0</v>
      </c>
      <c r="K351" s="391">
        <v>0</v>
      </c>
      <c r="L351" s="391">
        <v>0</v>
      </c>
      <c r="M351" s="391">
        <v>0</v>
      </c>
      <c r="N351" s="391">
        <v>0</v>
      </c>
      <c r="O351" s="391">
        <v>0</v>
      </c>
      <c r="P351" s="391">
        <v>0</v>
      </c>
      <c r="Q351" s="391">
        <v>0</v>
      </c>
      <c r="R351" s="400">
        <v>0</v>
      </c>
      <c r="S351" s="400">
        <f t="shared" ref="S351:S361" si="39">SUM(G351:R351)</f>
        <v>0</v>
      </c>
    </row>
    <row r="352" spans="1:19" x14ac:dyDescent="0.2">
      <c r="A352" s="219">
        <v>272</v>
      </c>
      <c r="B352" s="36"/>
      <c r="C352" s="9" t="s">
        <v>207</v>
      </c>
      <c r="D352" s="9"/>
      <c r="E352" s="18" t="s">
        <v>177</v>
      </c>
      <c r="F352" s="155" t="s">
        <v>350</v>
      </c>
      <c r="G352" s="429">
        <v>0</v>
      </c>
      <c r="H352" s="391">
        <v>0</v>
      </c>
      <c r="I352" s="391">
        <v>0</v>
      </c>
      <c r="J352" s="391">
        <v>0</v>
      </c>
      <c r="K352" s="391">
        <v>0</v>
      </c>
      <c r="L352" s="391">
        <v>0</v>
      </c>
      <c r="M352" s="391">
        <v>0</v>
      </c>
      <c r="N352" s="391">
        <v>0</v>
      </c>
      <c r="O352" s="391">
        <v>0</v>
      </c>
      <c r="P352" s="391">
        <v>0</v>
      </c>
      <c r="Q352" s="391">
        <v>0</v>
      </c>
      <c r="R352" s="400">
        <v>0</v>
      </c>
      <c r="S352" s="400">
        <f t="shared" si="39"/>
        <v>0</v>
      </c>
    </row>
    <row r="353" spans="1:19" x14ac:dyDescent="0.2">
      <c r="A353" s="219">
        <v>273</v>
      </c>
      <c r="B353" s="36"/>
      <c r="C353" s="9" t="s">
        <v>184</v>
      </c>
      <c r="D353" s="9"/>
      <c r="E353" s="18" t="s">
        <v>185</v>
      </c>
      <c r="F353" s="155" t="s">
        <v>349</v>
      </c>
      <c r="G353" s="429">
        <v>0</v>
      </c>
      <c r="H353" s="391">
        <v>0</v>
      </c>
      <c r="I353" s="391">
        <v>0</v>
      </c>
      <c r="J353" s="391">
        <v>0</v>
      </c>
      <c r="K353" s="391">
        <v>0</v>
      </c>
      <c r="L353" s="391">
        <v>0</v>
      </c>
      <c r="M353" s="391">
        <v>0</v>
      </c>
      <c r="N353" s="391">
        <v>0</v>
      </c>
      <c r="O353" s="391">
        <v>0</v>
      </c>
      <c r="P353" s="391">
        <v>0</v>
      </c>
      <c r="Q353" s="391">
        <v>0</v>
      </c>
      <c r="R353" s="400">
        <v>0</v>
      </c>
      <c r="S353" s="400">
        <f t="shared" si="39"/>
        <v>0</v>
      </c>
    </row>
    <row r="354" spans="1:19" x14ac:dyDescent="0.2">
      <c r="A354" s="219">
        <v>274</v>
      </c>
      <c r="B354" s="36"/>
      <c r="C354" s="9" t="s">
        <v>186</v>
      </c>
      <c r="D354" s="9"/>
      <c r="E354" s="18" t="s">
        <v>187</v>
      </c>
      <c r="F354" s="155" t="s">
        <v>349</v>
      </c>
      <c r="G354" s="429">
        <v>0</v>
      </c>
      <c r="H354" s="391">
        <v>0</v>
      </c>
      <c r="I354" s="391">
        <v>0</v>
      </c>
      <c r="J354" s="391">
        <v>0</v>
      </c>
      <c r="K354" s="391">
        <v>0</v>
      </c>
      <c r="L354" s="391">
        <v>0</v>
      </c>
      <c r="M354" s="391">
        <v>0</v>
      </c>
      <c r="N354" s="391">
        <v>0</v>
      </c>
      <c r="O354" s="391">
        <v>0</v>
      </c>
      <c r="P354" s="391">
        <v>0</v>
      </c>
      <c r="Q354" s="391">
        <v>0</v>
      </c>
      <c r="R354" s="400">
        <v>0</v>
      </c>
      <c r="S354" s="400">
        <f t="shared" si="39"/>
        <v>0</v>
      </c>
    </row>
    <row r="355" spans="1:19" x14ac:dyDescent="0.2">
      <c r="A355" s="219">
        <v>275</v>
      </c>
      <c r="B355" s="36"/>
      <c r="C355" s="9" t="s">
        <v>188</v>
      </c>
      <c r="D355" s="9"/>
      <c r="E355" s="18" t="s">
        <v>189</v>
      </c>
      <c r="F355" s="155" t="s">
        <v>349</v>
      </c>
      <c r="G355" s="429">
        <v>0</v>
      </c>
      <c r="H355" s="391">
        <v>0</v>
      </c>
      <c r="I355" s="391">
        <v>0</v>
      </c>
      <c r="J355" s="391">
        <v>0</v>
      </c>
      <c r="K355" s="391">
        <v>0</v>
      </c>
      <c r="L355" s="391">
        <v>0</v>
      </c>
      <c r="M355" s="391">
        <v>0</v>
      </c>
      <c r="N355" s="391">
        <v>0</v>
      </c>
      <c r="O355" s="391">
        <v>0</v>
      </c>
      <c r="P355" s="391">
        <v>0</v>
      </c>
      <c r="Q355" s="391">
        <v>0</v>
      </c>
      <c r="R355" s="400">
        <v>0</v>
      </c>
      <c r="S355" s="400">
        <f t="shared" si="39"/>
        <v>0</v>
      </c>
    </row>
    <row r="356" spans="1:19" x14ac:dyDescent="0.2">
      <c r="A356" s="219">
        <v>276</v>
      </c>
      <c r="B356" s="36"/>
      <c r="C356" s="9" t="s">
        <v>190</v>
      </c>
      <c r="D356" s="9"/>
      <c r="E356" s="18" t="s">
        <v>191</v>
      </c>
      <c r="F356" s="155" t="s">
        <v>349</v>
      </c>
      <c r="G356" s="429">
        <v>0</v>
      </c>
      <c r="H356" s="391">
        <v>0</v>
      </c>
      <c r="I356" s="391">
        <v>0</v>
      </c>
      <c r="J356" s="391">
        <v>0</v>
      </c>
      <c r="K356" s="391">
        <v>0</v>
      </c>
      <c r="L356" s="391">
        <v>0</v>
      </c>
      <c r="M356" s="391">
        <v>0</v>
      </c>
      <c r="N356" s="391">
        <v>0</v>
      </c>
      <c r="O356" s="391">
        <v>0</v>
      </c>
      <c r="P356" s="391">
        <v>0</v>
      </c>
      <c r="Q356" s="391">
        <v>0</v>
      </c>
      <c r="R356" s="400">
        <v>0</v>
      </c>
      <c r="S356" s="400">
        <f t="shared" si="39"/>
        <v>0</v>
      </c>
    </row>
    <row r="357" spans="1:19" x14ac:dyDescent="0.2">
      <c r="A357" s="219">
        <v>277</v>
      </c>
      <c r="B357" s="36"/>
      <c r="C357" s="9" t="s">
        <v>192</v>
      </c>
      <c r="D357" s="9"/>
      <c r="E357" s="18" t="s">
        <v>193</v>
      </c>
      <c r="F357" s="155" t="s">
        <v>349</v>
      </c>
      <c r="G357" s="429">
        <v>0</v>
      </c>
      <c r="H357" s="391">
        <v>0</v>
      </c>
      <c r="I357" s="391">
        <v>0</v>
      </c>
      <c r="J357" s="391">
        <v>0</v>
      </c>
      <c r="K357" s="391">
        <v>0</v>
      </c>
      <c r="L357" s="391">
        <v>0</v>
      </c>
      <c r="M357" s="391">
        <v>0</v>
      </c>
      <c r="N357" s="391">
        <v>0</v>
      </c>
      <c r="O357" s="391">
        <v>0</v>
      </c>
      <c r="P357" s="391">
        <v>0</v>
      </c>
      <c r="Q357" s="391">
        <v>0</v>
      </c>
      <c r="R357" s="400">
        <v>0</v>
      </c>
      <c r="S357" s="400">
        <f t="shared" si="39"/>
        <v>0</v>
      </c>
    </row>
    <row r="358" spans="1:19" x14ac:dyDescent="0.2">
      <c r="A358" s="219">
        <v>278</v>
      </c>
      <c r="B358" s="36"/>
      <c r="C358" s="9" t="s">
        <v>194</v>
      </c>
      <c r="D358" s="9"/>
      <c r="E358" s="18" t="s">
        <v>195</v>
      </c>
      <c r="F358" s="155" t="s">
        <v>349</v>
      </c>
      <c r="G358" s="429">
        <v>0</v>
      </c>
      <c r="H358" s="391">
        <v>0</v>
      </c>
      <c r="I358" s="391">
        <v>0</v>
      </c>
      <c r="J358" s="391">
        <v>0</v>
      </c>
      <c r="K358" s="391">
        <v>0</v>
      </c>
      <c r="L358" s="391">
        <v>0</v>
      </c>
      <c r="M358" s="391">
        <v>0</v>
      </c>
      <c r="N358" s="391">
        <v>0</v>
      </c>
      <c r="O358" s="391">
        <v>0</v>
      </c>
      <c r="P358" s="391">
        <v>0</v>
      </c>
      <c r="Q358" s="391">
        <v>0</v>
      </c>
      <c r="R358" s="400">
        <v>0</v>
      </c>
      <c r="S358" s="400">
        <f t="shared" si="39"/>
        <v>0</v>
      </c>
    </row>
    <row r="359" spans="1:19" x14ac:dyDescent="0.2">
      <c r="A359" s="219">
        <v>279</v>
      </c>
      <c r="B359" s="36"/>
      <c r="C359" s="85" t="s">
        <v>196</v>
      </c>
      <c r="D359" s="9"/>
      <c r="E359" s="18"/>
      <c r="F359" s="155"/>
      <c r="G359" s="429">
        <v>0</v>
      </c>
      <c r="H359" s="391">
        <v>0</v>
      </c>
      <c r="I359" s="391">
        <v>0</v>
      </c>
      <c r="J359" s="391">
        <v>0</v>
      </c>
      <c r="K359" s="391">
        <v>0</v>
      </c>
      <c r="L359" s="391">
        <v>0</v>
      </c>
      <c r="M359" s="391">
        <v>0</v>
      </c>
      <c r="N359" s="391">
        <v>0</v>
      </c>
      <c r="O359" s="391">
        <v>0</v>
      </c>
      <c r="P359" s="391">
        <v>0</v>
      </c>
      <c r="Q359" s="391">
        <v>0</v>
      </c>
      <c r="R359" s="400">
        <v>0</v>
      </c>
      <c r="S359" s="400">
        <f t="shared" si="39"/>
        <v>0</v>
      </c>
    </row>
    <row r="360" spans="1:19" x14ac:dyDescent="0.2">
      <c r="A360" s="219">
        <v>280</v>
      </c>
      <c r="B360" s="36"/>
      <c r="C360" s="85"/>
      <c r="D360" s="9"/>
      <c r="E360" s="18"/>
      <c r="F360" s="155"/>
      <c r="G360" s="429">
        <v>0</v>
      </c>
      <c r="H360" s="391">
        <v>0</v>
      </c>
      <c r="I360" s="391">
        <v>0</v>
      </c>
      <c r="J360" s="391">
        <v>0</v>
      </c>
      <c r="K360" s="391">
        <v>0</v>
      </c>
      <c r="L360" s="391">
        <v>0</v>
      </c>
      <c r="M360" s="391">
        <v>0</v>
      </c>
      <c r="N360" s="391">
        <v>0</v>
      </c>
      <c r="O360" s="391">
        <v>0</v>
      </c>
      <c r="P360" s="391">
        <v>0</v>
      </c>
      <c r="Q360" s="391">
        <v>0</v>
      </c>
      <c r="R360" s="400">
        <v>0</v>
      </c>
      <c r="S360" s="400">
        <f t="shared" si="39"/>
        <v>0</v>
      </c>
    </row>
    <row r="361" spans="1:19" x14ac:dyDescent="0.2">
      <c r="A361" s="219"/>
      <c r="B361" s="83"/>
      <c r="D361" s="13"/>
      <c r="E361" s="14"/>
      <c r="F361" s="163"/>
      <c r="G361" s="429">
        <v>0</v>
      </c>
      <c r="H361" s="412">
        <v>0</v>
      </c>
      <c r="I361" s="412">
        <v>0</v>
      </c>
      <c r="J361" s="412">
        <v>0</v>
      </c>
      <c r="K361" s="412">
        <v>0</v>
      </c>
      <c r="L361" s="412">
        <v>0</v>
      </c>
      <c r="M361" s="412">
        <v>0</v>
      </c>
      <c r="N361" s="412">
        <v>0</v>
      </c>
      <c r="O361" s="412">
        <v>0</v>
      </c>
      <c r="P361" s="412">
        <v>0</v>
      </c>
      <c r="Q361" s="412">
        <v>0</v>
      </c>
      <c r="R361" s="413">
        <v>0</v>
      </c>
      <c r="S361" s="400">
        <f t="shared" si="39"/>
        <v>0</v>
      </c>
    </row>
    <row r="362" spans="1:19" ht="15" x14ac:dyDescent="0.25">
      <c r="A362" s="220">
        <v>281</v>
      </c>
      <c r="B362" s="87" t="s">
        <v>351</v>
      </c>
      <c r="C362" s="51"/>
      <c r="D362" s="51"/>
      <c r="E362" s="49"/>
      <c r="F362" s="159"/>
      <c r="G362" s="438">
        <f t="shared" ref="G362:S362" si="40">SUM(G351:G361)</f>
        <v>0</v>
      </c>
      <c r="H362" s="415">
        <f t="shared" si="40"/>
        <v>0</v>
      </c>
      <c r="I362" s="415">
        <f t="shared" si="40"/>
        <v>0</v>
      </c>
      <c r="J362" s="415">
        <f t="shared" si="40"/>
        <v>0</v>
      </c>
      <c r="K362" s="415">
        <f t="shared" si="40"/>
        <v>0</v>
      </c>
      <c r="L362" s="415">
        <f t="shared" si="40"/>
        <v>0</v>
      </c>
      <c r="M362" s="415">
        <f t="shared" si="40"/>
        <v>0</v>
      </c>
      <c r="N362" s="415">
        <f t="shared" si="40"/>
        <v>0</v>
      </c>
      <c r="O362" s="415">
        <f t="shared" si="40"/>
        <v>0</v>
      </c>
      <c r="P362" s="415">
        <f t="shared" si="40"/>
        <v>0</v>
      </c>
      <c r="Q362" s="415">
        <f t="shared" si="40"/>
        <v>0</v>
      </c>
      <c r="R362" s="402">
        <f t="shared" si="40"/>
        <v>0</v>
      </c>
      <c r="S362" s="402">
        <f t="shared" si="40"/>
        <v>0</v>
      </c>
    </row>
    <row r="363" spans="1:19" ht="15.75" thickBot="1" x14ac:dyDescent="0.3">
      <c r="A363" s="219"/>
      <c r="B363" s="80"/>
      <c r="C363" s="10"/>
      <c r="D363" s="10"/>
      <c r="E363" s="18"/>
      <c r="F363" s="155"/>
      <c r="G363" s="429"/>
      <c r="H363" s="391"/>
      <c r="I363" s="391"/>
      <c r="J363" s="391"/>
      <c r="K363" s="391"/>
      <c r="L363" s="391"/>
      <c r="M363" s="391"/>
      <c r="N363" s="391"/>
      <c r="O363" s="391"/>
      <c r="P363" s="391"/>
      <c r="Q363" s="391"/>
      <c r="R363" s="400"/>
      <c r="S363" s="400"/>
    </row>
    <row r="364" spans="1:19" ht="15" x14ac:dyDescent="0.25">
      <c r="A364" s="226"/>
      <c r="B364" s="115" t="s">
        <v>352</v>
      </c>
      <c r="C364" s="123"/>
      <c r="D364" s="123"/>
      <c r="E364" s="135"/>
      <c r="F364" s="171"/>
      <c r="G364" s="431"/>
      <c r="H364" s="425"/>
      <c r="I364" s="425"/>
      <c r="J364" s="425"/>
      <c r="K364" s="425"/>
      <c r="L364" s="425"/>
      <c r="M364" s="425"/>
      <c r="N364" s="425"/>
      <c r="O364" s="425"/>
      <c r="P364" s="425"/>
      <c r="Q364" s="425"/>
      <c r="R364" s="426"/>
      <c r="S364" s="426"/>
    </row>
    <row r="365" spans="1:19" ht="15.75" thickBot="1" x14ac:dyDescent="0.3">
      <c r="A365" s="227">
        <v>282</v>
      </c>
      <c r="B365" s="131"/>
      <c r="C365" s="117"/>
      <c r="D365" s="117" t="s">
        <v>353</v>
      </c>
      <c r="E365" s="127"/>
      <c r="F365" s="172"/>
      <c r="G365" s="432">
        <f t="shared" ref="G365:S365" si="41">G347+G362</f>
        <v>0</v>
      </c>
      <c r="H365" s="427">
        <f t="shared" si="41"/>
        <v>27664.9</v>
      </c>
      <c r="I365" s="427">
        <f t="shared" si="41"/>
        <v>27664.9</v>
      </c>
      <c r="J365" s="427">
        <f t="shared" si="41"/>
        <v>27664.9</v>
      </c>
      <c r="K365" s="427">
        <f t="shared" si="41"/>
        <v>27664.9</v>
      </c>
      <c r="L365" s="427">
        <f t="shared" si="41"/>
        <v>27664.9</v>
      </c>
      <c r="M365" s="427">
        <f t="shared" si="41"/>
        <v>27664.9</v>
      </c>
      <c r="N365" s="427">
        <f t="shared" si="41"/>
        <v>27664.9</v>
      </c>
      <c r="O365" s="427">
        <f t="shared" si="41"/>
        <v>27664.9</v>
      </c>
      <c r="P365" s="427">
        <f t="shared" si="41"/>
        <v>27664.9</v>
      </c>
      <c r="Q365" s="427">
        <f t="shared" si="41"/>
        <v>27664.9</v>
      </c>
      <c r="R365" s="428">
        <f t="shared" si="41"/>
        <v>0</v>
      </c>
      <c r="S365" s="428">
        <f t="shared" si="41"/>
        <v>276649</v>
      </c>
    </row>
    <row r="366" spans="1:19" s="4" customFormat="1" ht="15" x14ac:dyDescent="0.25">
      <c r="A366" s="224"/>
      <c r="B366" s="132" t="s">
        <v>354</v>
      </c>
      <c r="C366" s="56"/>
      <c r="D366" s="56"/>
      <c r="E366" s="71"/>
      <c r="F366" s="153"/>
      <c r="G366" s="436"/>
      <c r="H366" s="385"/>
      <c r="I366" s="385"/>
      <c r="J366" s="385"/>
      <c r="K366" s="385"/>
      <c r="L366" s="385"/>
      <c r="M366" s="385"/>
      <c r="N366" s="385"/>
      <c r="O366" s="385"/>
      <c r="P366" s="385"/>
      <c r="Q366" s="385"/>
      <c r="R366" s="398"/>
      <c r="S366" s="398"/>
    </row>
    <row r="367" spans="1:19" x14ac:dyDescent="0.2">
      <c r="A367" s="219">
        <v>283</v>
      </c>
      <c r="B367" s="36"/>
      <c r="C367" s="9" t="s">
        <v>355</v>
      </c>
      <c r="D367" s="9"/>
      <c r="E367" s="18" t="s">
        <v>356</v>
      </c>
      <c r="F367" s="155" t="s">
        <v>357</v>
      </c>
      <c r="G367" s="429">
        <v>0</v>
      </c>
      <c r="H367" s="391">
        <v>0</v>
      </c>
      <c r="I367" s="391">
        <v>0</v>
      </c>
      <c r="J367" s="391">
        <v>0</v>
      </c>
      <c r="K367" s="391">
        <v>0</v>
      </c>
      <c r="L367" s="391">
        <v>0</v>
      </c>
      <c r="M367" s="391">
        <v>0</v>
      </c>
      <c r="N367" s="391">
        <v>0</v>
      </c>
      <c r="O367" s="391">
        <v>0</v>
      </c>
      <c r="P367" s="391">
        <v>0</v>
      </c>
      <c r="Q367" s="391">
        <v>0</v>
      </c>
      <c r="R367" s="400">
        <v>0</v>
      </c>
      <c r="S367" s="400">
        <f t="shared" ref="S367:S374" si="42">SUM(G367:R367)</f>
        <v>0</v>
      </c>
    </row>
    <row r="368" spans="1:19" x14ac:dyDescent="0.2">
      <c r="A368" s="219">
        <v>284</v>
      </c>
      <c r="B368" s="36"/>
      <c r="C368" s="9" t="s">
        <v>358</v>
      </c>
      <c r="D368" s="9"/>
      <c r="E368" s="18" t="s">
        <v>359</v>
      </c>
      <c r="F368" s="155" t="s">
        <v>360</v>
      </c>
      <c r="G368" s="429">
        <v>0</v>
      </c>
      <c r="H368" s="391">
        <v>0</v>
      </c>
      <c r="I368" s="391">
        <v>0</v>
      </c>
      <c r="J368" s="391">
        <v>0</v>
      </c>
      <c r="K368" s="391">
        <v>0</v>
      </c>
      <c r="L368" s="391">
        <v>0</v>
      </c>
      <c r="M368" s="391">
        <v>0</v>
      </c>
      <c r="N368" s="391">
        <v>0</v>
      </c>
      <c r="O368" s="391">
        <v>0</v>
      </c>
      <c r="P368" s="391">
        <v>0</v>
      </c>
      <c r="Q368" s="391">
        <v>0</v>
      </c>
      <c r="R368" s="400">
        <v>0</v>
      </c>
      <c r="S368" s="400">
        <f t="shared" si="42"/>
        <v>0</v>
      </c>
    </row>
    <row r="369" spans="1:19" x14ac:dyDescent="0.2">
      <c r="A369" s="219">
        <v>285</v>
      </c>
      <c r="B369" s="36"/>
      <c r="C369" s="9" t="s">
        <v>361</v>
      </c>
      <c r="D369" s="9"/>
      <c r="E369" s="18" t="s">
        <v>359</v>
      </c>
      <c r="F369" s="155" t="s">
        <v>362</v>
      </c>
      <c r="G369" s="429">
        <v>0</v>
      </c>
      <c r="H369" s="391">
        <v>0</v>
      </c>
      <c r="I369" s="391">
        <v>0</v>
      </c>
      <c r="J369" s="391">
        <v>0</v>
      </c>
      <c r="K369" s="391">
        <v>0</v>
      </c>
      <c r="L369" s="391">
        <v>0</v>
      </c>
      <c r="M369" s="391">
        <v>0</v>
      </c>
      <c r="N369" s="391">
        <v>0</v>
      </c>
      <c r="O369" s="391">
        <v>0</v>
      </c>
      <c r="P369" s="391">
        <v>0</v>
      </c>
      <c r="Q369" s="391">
        <v>0</v>
      </c>
      <c r="R369" s="400">
        <v>0</v>
      </c>
      <c r="S369" s="400">
        <f t="shared" si="42"/>
        <v>0</v>
      </c>
    </row>
    <row r="370" spans="1:19" x14ac:dyDescent="0.2">
      <c r="A370" s="219">
        <v>286</v>
      </c>
      <c r="B370" s="36"/>
      <c r="C370" s="9" t="s">
        <v>180</v>
      </c>
      <c r="D370" s="9"/>
      <c r="E370" s="18" t="s">
        <v>181</v>
      </c>
      <c r="F370" s="155" t="s">
        <v>360</v>
      </c>
      <c r="G370" s="429">
        <v>0</v>
      </c>
      <c r="H370" s="391">
        <v>0</v>
      </c>
      <c r="I370" s="391">
        <v>0</v>
      </c>
      <c r="J370" s="391">
        <v>0</v>
      </c>
      <c r="K370" s="391">
        <v>0</v>
      </c>
      <c r="L370" s="391">
        <v>0</v>
      </c>
      <c r="M370" s="391">
        <v>0</v>
      </c>
      <c r="N370" s="391">
        <v>0</v>
      </c>
      <c r="O370" s="391">
        <v>0</v>
      </c>
      <c r="P370" s="391">
        <v>0</v>
      </c>
      <c r="Q370" s="391">
        <v>0</v>
      </c>
      <c r="R370" s="400">
        <v>0</v>
      </c>
      <c r="S370" s="400">
        <f t="shared" si="42"/>
        <v>0</v>
      </c>
    </row>
    <row r="371" spans="1:19" x14ac:dyDescent="0.2">
      <c r="A371" s="219">
        <v>287</v>
      </c>
      <c r="B371" s="36"/>
      <c r="C371" s="9" t="s">
        <v>171</v>
      </c>
      <c r="D371" s="9"/>
      <c r="E371" s="18" t="s">
        <v>172</v>
      </c>
      <c r="F371" s="155" t="s">
        <v>363</v>
      </c>
      <c r="G371" s="429">
        <v>0</v>
      </c>
      <c r="H371" s="391">
        <v>0</v>
      </c>
      <c r="I371" s="391">
        <v>0</v>
      </c>
      <c r="J371" s="391">
        <v>0</v>
      </c>
      <c r="K371" s="391">
        <v>0</v>
      </c>
      <c r="L371" s="391">
        <v>0</v>
      </c>
      <c r="M371" s="391">
        <v>0</v>
      </c>
      <c r="N371" s="391">
        <v>0</v>
      </c>
      <c r="O371" s="391">
        <v>0</v>
      </c>
      <c r="P371" s="391">
        <v>0</v>
      </c>
      <c r="Q371" s="391">
        <v>0</v>
      </c>
      <c r="R371" s="400">
        <v>0</v>
      </c>
      <c r="S371" s="400">
        <f t="shared" si="42"/>
        <v>0</v>
      </c>
    </row>
    <row r="372" spans="1:19" x14ac:dyDescent="0.2">
      <c r="A372" s="219">
        <v>288</v>
      </c>
      <c r="B372" s="36"/>
      <c r="C372" s="85" t="s">
        <v>196</v>
      </c>
      <c r="D372" s="9"/>
      <c r="E372" s="18"/>
      <c r="F372" s="155"/>
      <c r="G372" s="429">
        <v>0</v>
      </c>
      <c r="H372" s="391">
        <v>0</v>
      </c>
      <c r="I372" s="391">
        <v>0</v>
      </c>
      <c r="J372" s="391">
        <v>0</v>
      </c>
      <c r="K372" s="391">
        <v>0</v>
      </c>
      <c r="L372" s="391">
        <v>0</v>
      </c>
      <c r="M372" s="391">
        <v>0</v>
      </c>
      <c r="N372" s="391">
        <v>0</v>
      </c>
      <c r="O372" s="391">
        <v>0</v>
      </c>
      <c r="P372" s="391">
        <v>0</v>
      </c>
      <c r="Q372" s="391">
        <v>0</v>
      </c>
      <c r="R372" s="400">
        <v>0</v>
      </c>
      <c r="S372" s="400">
        <f t="shared" si="42"/>
        <v>0</v>
      </c>
    </row>
    <row r="373" spans="1:19" x14ac:dyDescent="0.2">
      <c r="A373" s="219">
        <v>289</v>
      </c>
      <c r="B373" s="36"/>
      <c r="C373" s="85"/>
      <c r="D373" s="9"/>
      <c r="E373" s="18"/>
      <c r="F373" s="155"/>
      <c r="G373" s="429">
        <v>0</v>
      </c>
      <c r="H373" s="391">
        <v>0</v>
      </c>
      <c r="I373" s="391">
        <v>0</v>
      </c>
      <c r="J373" s="391">
        <v>0</v>
      </c>
      <c r="K373" s="391">
        <v>0</v>
      </c>
      <c r="L373" s="391">
        <v>0</v>
      </c>
      <c r="M373" s="391">
        <v>0</v>
      </c>
      <c r="N373" s="391">
        <v>0</v>
      </c>
      <c r="O373" s="391">
        <v>0</v>
      </c>
      <c r="P373" s="391">
        <v>0</v>
      </c>
      <c r="Q373" s="391">
        <v>0</v>
      </c>
      <c r="R373" s="400">
        <v>0</v>
      </c>
      <c r="S373" s="400">
        <f t="shared" si="42"/>
        <v>0</v>
      </c>
    </row>
    <row r="374" spans="1:19" ht="15" thickBot="1" x14ac:dyDescent="0.25">
      <c r="A374" s="219">
        <v>290</v>
      </c>
      <c r="B374" s="83"/>
      <c r="D374" s="13"/>
      <c r="E374" s="14"/>
      <c r="F374" s="163"/>
      <c r="G374" s="429">
        <v>0</v>
      </c>
      <c r="H374" s="412">
        <v>0</v>
      </c>
      <c r="I374" s="412">
        <v>0</v>
      </c>
      <c r="J374" s="412">
        <v>0</v>
      </c>
      <c r="K374" s="412">
        <v>0</v>
      </c>
      <c r="L374" s="412">
        <v>0</v>
      </c>
      <c r="M374" s="412">
        <v>0</v>
      </c>
      <c r="N374" s="412">
        <v>0</v>
      </c>
      <c r="O374" s="412">
        <v>0</v>
      </c>
      <c r="P374" s="412">
        <v>0</v>
      </c>
      <c r="Q374" s="412">
        <v>0</v>
      </c>
      <c r="R374" s="413">
        <v>0</v>
      </c>
      <c r="S374" s="400">
        <f t="shared" si="42"/>
        <v>0</v>
      </c>
    </row>
    <row r="375" spans="1:19" ht="15" x14ac:dyDescent="0.25">
      <c r="A375" s="226"/>
      <c r="B375" s="115" t="s">
        <v>364</v>
      </c>
      <c r="C375" s="123"/>
      <c r="D375" s="123"/>
      <c r="E375" s="135"/>
      <c r="F375" s="171"/>
      <c r="G375" s="431"/>
      <c r="H375" s="425"/>
      <c r="I375" s="425"/>
      <c r="J375" s="425"/>
      <c r="K375" s="425"/>
      <c r="L375" s="425"/>
      <c r="M375" s="425"/>
      <c r="N375" s="425"/>
      <c r="O375" s="425"/>
      <c r="P375" s="425"/>
      <c r="Q375" s="425"/>
      <c r="R375" s="426"/>
      <c r="S375" s="426"/>
    </row>
    <row r="376" spans="1:19" ht="15.75" thickBot="1" x14ac:dyDescent="0.3">
      <c r="A376" s="227">
        <v>291</v>
      </c>
      <c r="B376" s="124"/>
      <c r="C376" s="125"/>
      <c r="D376" s="117" t="s">
        <v>365</v>
      </c>
      <c r="E376" s="127"/>
      <c r="F376" s="172"/>
      <c r="G376" s="432">
        <f t="shared" ref="G376:S376" si="43">SUM(G367:G374)</f>
        <v>0</v>
      </c>
      <c r="H376" s="427">
        <f t="shared" si="43"/>
        <v>0</v>
      </c>
      <c r="I376" s="427">
        <f t="shared" si="43"/>
        <v>0</v>
      </c>
      <c r="J376" s="427">
        <f t="shared" si="43"/>
        <v>0</v>
      </c>
      <c r="K376" s="427">
        <f t="shared" si="43"/>
        <v>0</v>
      </c>
      <c r="L376" s="427">
        <f t="shared" si="43"/>
        <v>0</v>
      </c>
      <c r="M376" s="427">
        <f t="shared" si="43"/>
        <v>0</v>
      </c>
      <c r="N376" s="427">
        <f t="shared" si="43"/>
        <v>0</v>
      </c>
      <c r="O376" s="427">
        <f t="shared" si="43"/>
        <v>0</v>
      </c>
      <c r="P376" s="427">
        <f t="shared" si="43"/>
        <v>0</v>
      </c>
      <c r="Q376" s="427">
        <f t="shared" si="43"/>
        <v>0</v>
      </c>
      <c r="R376" s="428">
        <f t="shared" si="43"/>
        <v>0</v>
      </c>
      <c r="S376" s="428">
        <f t="shared" si="43"/>
        <v>0</v>
      </c>
    </row>
    <row r="377" spans="1:19" x14ac:dyDescent="0.2">
      <c r="A377" s="224"/>
      <c r="B377" s="35"/>
      <c r="C377" s="12"/>
      <c r="D377" s="12"/>
      <c r="E377" s="16"/>
      <c r="F377" s="167"/>
      <c r="G377" s="444"/>
      <c r="H377" s="417"/>
      <c r="I377" s="417"/>
      <c r="J377" s="417"/>
      <c r="K377" s="417"/>
      <c r="L377" s="417"/>
      <c r="M377" s="417"/>
      <c r="N377" s="417"/>
      <c r="O377" s="417"/>
      <c r="P377" s="417"/>
      <c r="Q377" s="417"/>
      <c r="R377" s="418"/>
      <c r="S377" s="418"/>
    </row>
    <row r="378" spans="1:19" s="4" customFormat="1" ht="15" x14ac:dyDescent="0.25">
      <c r="A378" s="219"/>
      <c r="B378" s="52" t="s">
        <v>366</v>
      </c>
      <c r="C378" s="53"/>
      <c r="D378" s="53"/>
      <c r="E378" s="61"/>
      <c r="F378" s="154"/>
      <c r="G378" s="414"/>
      <c r="H378" s="388"/>
      <c r="I378" s="388"/>
      <c r="J378" s="388"/>
      <c r="K378" s="388"/>
      <c r="L378" s="388"/>
      <c r="M378" s="388"/>
      <c r="N378" s="388"/>
      <c r="O378" s="388"/>
      <c r="P378" s="388"/>
      <c r="Q378" s="388"/>
      <c r="R378" s="399"/>
      <c r="S378" s="399"/>
    </row>
    <row r="379" spans="1:19" x14ac:dyDescent="0.2">
      <c r="A379" s="219"/>
      <c r="B379" s="36"/>
      <c r="C379" s="9" t="s">
        <v>367</v>
      </c>
      <c r="D379" s="9"/>
      <c r="E379" s="61"/>
      <c r="F379" s="154"/>
      <c r="G379" s="414"/>
      <c r="H379" s="388"/>
      <c r="I379" s="388"/>
      <c r="J379" s="388"/>
      <c r="K379" s="388"/>
      <c r="L379" s="388"/>
      <c r="M379" s="388"/>
      <c r="N379" s="388"/>
      <c r="O379" s="388"/>
      <c r="P379" s="388"/>
      <c r="Q379" s="388"/>
      <c r="R379" s="399"/>
      <c r="S379" s="399"/>
    </row>
    <row r="380" spans="1:19" x14ac:dyDescent="0.2">
      <c r="A380" s="219">
        <v>292</v>
      </c>
      <c r="B380" s="36"/>
      <c r="C380" s="9"/>
      <c r="D380" s="9" t="s">
        <v>368</v>
      </c>
      <c r="E380" s="18" t="s">
        <v>277</v>
      </c>
      <c r="F380" s="155" t="s">
        <v>369</v>
      </c>
      <c r="G380" s="429">
        <v>0</v>
      </c>
      <c r="H380" s="391">
        <v>0</v>
      </c>
      <c r="I380" s="391">
        <v>0</v>
      </c>
      <c r="J380" s="391">
        <v>0</v>
      </c>
      <c r="K380" s="391">
        <v>0</v>
      </c>
      <c r="L380" s="391">
        <v>0</v>
      </c>
      <c r="M380" s="391">
        <v>0</v>
      </c>
      <c r="N380" s="391">
        <v>0</v>
      </c>
      <c r="O380" s="391">
        <v>0</v>
      </c>
      <c r="P380" s="391">
        <v>0</v>
      </c>
      <c r="Q380" s="391">
        <v>0</v>
      </c>
      <c r="R380" s="400">
        <v>0</v>
      </c>
      <c r="S380" s="400">
        <f t="shared" ref="S380:S386" si="44">SUM(G380:R380)</f>
        <v>0</v>
      </c>
    </row>
    <row r="381" spans="1:19" x14ac:dyDescent="0.2">
      <c r="A381" s="219">
        <v>293</v>
      </c>
      <c r="B381" s="36"/>
      <c r="C381" s="9"/>
      <c r="D381" s="9" t="s">
        <v>370</v>
      </c>
      <c r="E381" s="18" t="s">
        <v>280</v>
      </c>
      <c r="F381" s="155" t="s">
        <v>369</v>
      </c>
      <c r="G381" s="429">
        <v>0</v>
      </c>
      <c r="H381" s="391">
        <v>0</v>
      </c>
      <c r="I381" s="391">
        <v>0</v>
      </c>
      <c r="J381" s="391">
        <v>0</v>
      </c>
      <c r="K381" s="391">
        <v>0</v>
      </c>
      <c r="L381" s="391">
        <v>0</v>
      </c>
      <c r="M381" s="391">
        <v>0</v>
      </c>
      <c r="N381" s="391">
        <v>0</v>
      </c>
      <c r="O381" s="391">
        <v>0</v>
      </c>
      <c r="P381" s="391">
        <v>0</v>
      </c>
      <c r="Q381" s="391">
        <v>0</v>
      </c>
      <c r="R381" s="400">
        <v>0</v>
      </c>
      <c r="S381" s="400">
        <f t="shared" si="44"/>
        <v>0</v>
      </c>
    </row>
    <row r="382" spans="1:19" x14ac:dyDescent="0.2">
      <c r="A382" s="219">
        <v>294</v>
      </c>
      <c r="B382" s="36"/>
      <c r="C382" s="9"/>
      <c r="D382" s="9" t="s">
        <v>371</v>
      </c>
      <c r="E382" s="18" t="s">
        <v>372</v>
      </c>
      <c r="F382" s="155" t="s">
        <v>369</v>
      </c>
      <c r="G382" s="429">
        <v>0</v>
      </c>
      <c r="H382" s="391">
        <v>0</v>
      </c>
      <c r="I382" s="391">
        <v>0</v>
      </c>
      <c r="J382" s="391">
        <v>0</v>
      </c>
      <c r="K382" s="391">
        <v>0</v>
      </c>
      <c r="L382" s="391">
        <v>0</v>
      </c>
      <c r="M382" s="391">
        <v>0</v>
      </c>
      <c r="N382" s="391">
        <v>0</v>
      </c>
      <c r="O382" s="391">
        <v>0</v>
      </c>
      <c r="P382" s="391">
        <v>0</v>
      </c>
      <c r="Q382" s="391">
        <v>0</v>
      </c>
      <c r="R382" s="400">
        <v>0</v>
      </c>
      <c r="S382" s="400">
        <f t="shared" si="44"/>
        <v>0</v>
      </c>
    </row>
    <row r="383" spans="1:19" x14ac:dyDescent="0.2">
      <c r="A383" s="219">
        <v>295</v>
      </c>
      <c r="B383" s="36"/>
      <c r="C383" s="9"/>
      <c r="D383" s="9" t="s">
        <v>182</v>
      </c>
      <c r="E383" s="18" t="s">
        <v>183</v>
      </c>
      <c r="F383" s="155" t="s">
        <v>369</v>
      </c>
      <c r="G383" s="429">
        <v>0</v>
      </c>
      <c r="H383" s="391">
        <v>0</v>
      </c>
      <c r="I383" s="391">
        <v>0</v>
      </c>
      <c r="J383" s="391">
        <v>0</v>
      </c>
      <c r="K383" s="391">
        <v>0</v>
      </c>
      <c r="L383" s="391">
        <v>0</v>
      </c>
      <c r="M383" s="391">
        <v>0</v>
      </c>
      <c r="N383" s="391">
        <v>0</v>
      </c>
      <c r="O383" s="391">
        <v>0</v>
      </c>
      <c r="P383" s="391">
        <v>0</v>
      </c>
      <c r="Q383" s="391">
        <v>0</v>
      </c>
      <c r="R383" s="400">
        <v>0</v>
      </c>
      <c r="S383" s="400">
        <f t="shared" si="44"/>
        <v>0</v>
      </c>
    </row>
    <row r="384" spans="1:19" x14ac:dyDescent="0.2">
      <c r="A384" s="219">
        <v>296</v>
      </c>
      <c r="B384" s="36"/>
      <c r="C384" s="85" t="s">
        <v>196</v>
      </c>
      <c r="D384" s="9"/>
      <c r="E384" s="18"/>
      <c r="F384" s="155"/>
      <c r="G384" s="429">
        <v>0</v>
      </c>
      <c r="H384" s="391">
        <v>0</v>
      </c>
      <c r="I384" s="391">
        <v>0</v>
      </c>
      <c r="J384" s="391">
        <v>0</v>
      </c>
      <c r="K384" s="391">
        <v>0</v>
      </c>
      <c r="L384" s="391">
        <v>0</v>
      </c>
      <c r="M384" s="391">
        <v>0</v>
      </c>
      <c r="N384" s="391">
        <v>0</v>
      </c>
      <c r="O384" s="391">
        <v>0</v>
      </c>
      <c r="P384" s="391">
        <v>0</v>
      </c>
      <c r="Q384" s="391">
        <v>0</v>
      </c>
      <c r="R384" s="400">
        <v>0</v>
      </c>
      <c r="S384" s="400">
        <f t="shared" si="44"/>
        <v>0</v>
      </c>
    </row>
    <row r="385" spans="1:19" x14ac:dyDescent="0.2">
      <c r="A385" s="219">
        <v>297</v>
      </c>
      <c r="B385" s="36"/>
      <c r="C385" s="85"/>
      <c r="D385" s="9"/>
      <c r="E385" s="18"/>
      <c r="F385" s="155"/>
      <c r="G385" s="429">
        <v>0</v>
      </c>
      <c r="H385" s="391">
        <v>0</v>
      </c>
      <c r="I385" s="391">
        <v>0</v>
      </c>
      <c r="J385" s="391">
        <v>0</v>
      </c>
      <c r="K385" s="391">
        <v>0</v>
      </c>
      <c r="L385" s="391">
        <v>0</v>
      </c>
      <c r="M385" s="391">
        <v>0</v>
      </c>
      <c r="N385" s="391">
        <v>0</v>
      </c>
      <c r="O385" s="391">
        <v>0</v>
      </c>
      <c r="P385" s="391">
        <v>0</v>
      </c>
      <c r="Q385" s="391">
        <v>0</v>
      </c>
      <c r="R385" s="400">
        <v>0</v>
      </c>
      <c r="S385" s="400">
        <f t="shared" si="44"/>
        <v>0</v>
      </c>
    </row>
    <row r="386" spans="1:19" ht="15" thickBot="1" x14ac:dyDescent="0.25">
      <c r="A386" s="219">
        <v>298</v>
      </c>
      <c r="B386" s="83"/>
      <c r="D386" s="13"/>
      <c r="E386" s="14"/>
      <c r="F386" s="163"/>
      <c r="G386" s="429">
        <v>0</v>
      </c>
      <c r="H386" s="412">
        <v>0</v>
      </c>
      <c r="I386" s="412">
        <v>0</v>
      </c>
      <c r="J386" s="412">
        <v>0</v>
      </c>
      <c r="K386" s="412">
        <v>0</v>
      </c>
      <c r="L386" s="412">
        <v>0</v>
      </c>
      <c r="M386" s="412">
        <v>0</v>
      </c>
      <c r="N386" s="412">
        <v>0</v>
      </c>
      <c r="O386" s="412">
        <v>0</v>
      </c>
      <c r="P386" s="412">
        <v>0</v>
      </c>
      <c r="Q386" s="412">
        <v>0</v>
      </c>
      <c r="R386" s="413">
        <v>0</v>
      </c>
      <c r="S386" s="400">
        <f t="shared" si="44"/>
        <v>0</v>
      </c>
    </row>
    <row r="387" spans="1:19" ht="15.75" thickBot="1" x14ac:dyDescent="0.3">
      <c r="A387" s="223">
        <v>299</v>
      </c>
      <c r="B387" s="75" t="s">
        <v>373</v>
      </c>
      <c r="C387" s="76"/>
      <c r="D387" s="76"/>
      <c r="E387" s="45"/>
      <c r="F387" s="162"/>
      <c r="G387" s="430">
        <f t="shared" ref="G387:S387" si="45">SUM(G380:G386)</f>
        <v>0</v>
      </c>
      <c r="H387" s="416">
        <f t="shared" si="45"/>
        <v>0</v>
      </c>
      <c r="I387" s="416">
        <f t="shared" si="45"/>
        <v>0</v>
      </c>
      <c r="J387" s="416">
        <f t="shared" si="45"/>
        <v>0</v>
      </c>
      <c r="K387" s="416">
        <f t="shared" si="45"/>
        <v>0</v>
      </c>
      <c r="L387" s="416">
        <f t="shared" si="45"/>
        <v>0</v>
      </c>
      <c r="M387" s="416">
        <f t="shared" si="45"/>
        <v>0</v>
      </c>
      <c r="N387" s="416">
        <f t="shared" si="45"/>
        <v>0</v>
      </c>
      <c r="O387" s="416">
        <f t="shared" si="45"/>
        <v>0</v>
      </c>
      <c r="P387" s="416">
        <f t="shared" si="45"/>
        <v>0</v>
      </c>
      <c r="Q387" s="416">
        <f t="shared" si="45"/>
        <v>0</v>
      </c>
      <c r="R387" s="409">
        <f t="shared" si="45"/>
        <v>0</v>
      </c>
      <c r="S387" s="409">
        <f t="shared" si="45"/>
        <v>0</v>
      </c>
    </row>
    <row r="388" spans="1:19" ht="15" thickBot="1" x14ac:dyDescent="0.25">
      <c r="A388" s="219"/>
      <c r="B388" s="36"/>
      <c r="C388" s="9"/>
      <c r="D388" s="9"/>
      <c r="E388" s="18"/>
      <c r="F388" s="155"/>
      <c r="G388" s="429"/>
      <c r="H388" s="391"/>
      <c r="I388" s="391"/>
      <c r="J388" s="391"/>
      <c r="K388" s="391"/>
      <c r="L388" s="391"/>
      <c r="M388" s="391"/>
      <c r="N388" s="391"/>
      <c r="O388" s="391"/>
      <c r="P388" s="391"/>
      <c r="Q388" s="391"/>
      <c r="R388" s="400"/>
      <c r="S388" s="400"/>
    </row>
    <row r="389" spans="1:19" ht="15.75" thickBot="1" x14ac:dyDescent="0.3">
      <c r="A389" s="223">
        <v>300</v>
      </c>
      <c r="B389" s="75" t="s">
        <v>374</v>
      </c>
      <c r="C389" s="76"/>
      <c r="D389" s="76"/>
      <c r="E389" s="45"/>
      <c r="F389" s="162"/>
      <c r="G389" s="430">
        <f t="shared" ref="G389:S389" si="46">G152+G324+G365+G376+G387</f>
        <v>95233.587654382354</v>
      </c>
      <c r="H389" s="416">
        <f t="shared" si="46"/>
        <v>326849.93765123427</v>
      </c>
      <c r="I389" s="416">
        <f t="shared" si="46"/>
        <v>419638.84743116808</v>
      </c>
      <c r="J389" s="416">
        <f t="shared" si="46"/>
        <v>419638.84743116808</v>
      </c>
      <c r="K389" s="416">
        <f t="shared" si="46"/>
        <v>419638.84743116808</v>
      </c>
      <c r="L389" s="416">
        <f t="shared" si="46"/>
        <v>419638.84743116808</v>
      </c>
      <c r="M389" s="416">
        <f t="shared" si="46"/>
        <v>419638.84743116808</v>
      </c>
      <c r="N389" s="416">
        <f t="shared" si="46"/>
        <v>419638.84743116808</v>
      </c>
      <c r="O389" s="416">
        <f t="shared" si="46"/>
        <v>419638.84743116808</v>
      </c>
      <c r="P389" s="416">
        <f t="shared" si="46"/>
        <v>419638.84743116808</v>
      </c>
      <c r="Q389" s="416">
        <f t="shared" si="46"/>
        <v>419638.84743116808</v>
      </c>
      <c r="R389" s="409">
        <f t="shared" si="46"/>
        <v>361833.05076221202</v>
      </c>
      <c r="S389" s="409">
        <f t="shared" si="46"/>
        <v>4560666.2029483411</v>
      </c>
    </row>
    <row r="390" spans="1:19" x14ac:dyDescent="0.2">
      <c r="A390" s="219"/>
      <c r="B390" s="36"/>
      <c r="C390" s="9"/>
      <c r="D390" s="9"/>
      <c r="E390" s="18"/>
      <c r="F390" s="155"/>
      <c r="G390" s="429"/>
      <c r="H390" s="391"/>
      <c r="I390" s="391"/>
      <c r="J390" s="391"/>
      <c r="K390" s="391"/>
      <c r="L390" s="391"/>
      <c r="M390" s="391"/>
      <c r="N390" s="391"/>
      <c r="O390" s="391"/>
      <c r="P390" s="391"/>
      <c r="Q390" s="391"/>
      <c r="R390" s="400"/>
      <c r="S390" s="400"/>
    </row>
    <row r="391" spans="1:19" s="4" customFormat="1" ht="15" x14ac:dyDescent="0.25">
      <c r="A391" s="219"/>
      <c r="B391" s="86" t="s">
        <v>375</v>
      </c>
      <c r="C391" s="11"/>
      <c r="D391" s="11"/>
      <c r="E391" s="77"/>
      <c r="F391" s="166"/>
      <c r="G391" s="147"/>
      <c r="H391" s="148"/>
      <c r="I391" s="148"/>
      <c r="J391" s="148"/>
      <c r="K391" s="148"/>
      <c r="L391" s="148"/>
      <c r="M391" s="148"/>
      <c r="N391" s="148"/>
      <c r="O391" s="148"/>
      <c r="P391" s="148"/>
      <c r="Q391" s="148"/>
      <c r="R391" s="149"/>
      <c r="S391" s="149"/>
    </row>
    <row r="392" spans="1:19" x14ac:dyDescent="0.2">
      <c r="A392" s="219">
        <v>301</v>
      </c>
      <c r="B392" s="36" t="s">
        <v>376</v>
      </c>
      <c r="C392" s="9"/>
      <c r="D392" s="9"/>
      <c r="E392" s="18" t="s">
        <v>212</v>
      </c>
      <c r="F392" s="155" t="s">
        <v>377</v>
      </c>
      <c r="G392" s="429">
        <v>0</v>
      </c>
      <c r="H392" s="391">
        <v>0</v>
      </c>
      <c r="I392" s="391">
        <v>0</v>
      </c>
      <c r="J392" s="391">
        <v>0</v>
      </c>
      <c r="K392" s="391">
        <v>0</v>
      </c>
      <c r="L392" s="391">
        <v>0</v>
      </c>
      <c r="M392" s="391">
        <v>0</v>
      </c>
      <c r="N392" s="391">
        <v>0</v>
      </c>
      <c r="O392" s="391">
        <v>0</v>
      </c>
      <c r="P392" s="391">
        <v>0</v>
      </c>
      <c r="Q392" s="391">
        <v>0</v>
      </c>
      <c r="R392" s="400">
        <v>0</v>
      </c>
      <c r="S392" s="400">
        <f>SUM(G392:R392)</f>
        <v>0</v>
      </c>
    </row>
    <row r="393" spans="1:19" ht="15" thickBot="1" x14ac:dyDescent="0.25">
      <c r="A393" s="219">
        <v>302</v>
      </c>
      <c r="B393" s="36"/>
      <c r="C393" s="9"/>
      <c r="D393" s="9"/>
      <c r="E393" s="18"/>
      <c r="F393" s="155"/>
      <c r="G393" s="429"/>
      <c r="H393" s="391"/>
      <c r="I393" s="391"/>
      <c r="J393" s="391"/>
      <c r="K393" s="391"/>
      <c r="L393" s="391"/>
      <c r="M393" s="391"/>
      <c r="N393" s="391"/>
      <c r="O393" s="391"/>
      <c r="P393" s="391"/>
      <c r="Q393" s="391"/>
      <c r="R393" s="400"/>
      <c r="S393" s="400">
        <f>SUM(G393:R393)</f>
        <v>0</v>
      </c>
    </row>
    <row r="394" spans="1:19" ht="15.75" thickBot="1" x14ac:dyDescent="0.3">
      <c r="A394" s="223">
        <v>303</v>
      </c>
      <c r="B394" s="75" t="s">
        <v>378</v>
      </c>
      <c r="C394" s="76"/>
      <c r="D394" s="76"/>
      <c r="E394" s="45"/>
      <c r="F394" s="162"/>
      <c r="G394" s="430">
        <f t="shared" ref="G394:S394" si="47">SUM(G392:G393)</f>
        <v>0</v>
      </c>
      <c r="H394" s="416">
        <f t="shared" si="47"/>
        <v>0</v>
      </c>
      <c r="I394" s="416">
        <f t="shared" si="47"/>
        <v>0</v>
      </c>
      <c r="J394" s="416">
        <f t="shared" si="47"/>
        <v>0</v>
      </c>
      <c r="K394" s="416">
        <f t="shared" si="47"/>
        <v>0</v>
      </c>
      <c r="L394" s="416">
        <f t="shared" si="47"/>
        <v>0</v>
      </c>
      <c r="M394" s="416">
        <f t="shared" si="47"/>
        <v>0</v>
      </c>
      <c r="N394" s="416">
        <f t="shared" si="47"/>
        <v>0</v>
      </c>
      <c r="O394" s="416">
        <f t="shared" si="47"/>
        <v>0</v>
      </c>
      <c r="P394" s="416">
        <f t="shared" si="47"/>
        <v>0</v>
      </c>
      <c r="Q394" s="416">
        <f t="shared" si="47"/>
        <v>0</v>
      </c>
      <c r="R394" s="409">
        <f t="shared" si="47"/>
        <v>0</v>
      </c>
      <c r="S394" s="409">
        <f t="shared" si="47"/>
        <v>0</v>
      </c>
    </row>
    <row r="395" spans="1:19" ht="15" thickBot="1" x14ac:dyDescent="0.25">
      <c r="A395" s="219"/>
      <c r="B395" s="36"/>
      <c r="C395" s="9"/>
      <c r="D395" s="9"/>
      <c r="E395" s="18"/>
      <c r="F395" s="155"/>
      <c r="G395" s="429"/>
      <c r="H395" s="391"/>
      <c r="I395" s="391"/>
      <c r="J395" s="391"/>
      <c r="K395" s="391"/>
      <c r="L395" s="391"/>
      <c r="M395" s="391"/>
      <c r="N395" s="391"/>
      <c r="O395" s="391"/>
      <c r="P395" s="391"/>
      <c r="Q395" s="391"/>
      <c r="R395" s="400"/>
      <c r="S395" s="400"/>
    </row>
    <row r="396" spans="1:19" s="4" customFormat="1" ht="15.75" thickBot="1" x14ac:dyDescent="0.3">
      <c r="A396" s="229" t="s">
        <v>379</v>
      </c>
      <c r="B396" s="75"/>
      <c r="C396" s="76"/>
      <c r="D396" s="76"/>
      <c r="E396" s="119"/>
      <c r="F396" s="173"/>
      <c r="G396" s="150"/>
      <c r="H396" s="151"/>
      <c r="I396" s="151"/>
      <c r="J396" s="151"/>
      <c r="K396" s="151"/>
      <c r="L396" s="151"/>
      <c r="M396" s="151"/>
      <c r="N396" s="151"/>
      <c r="O396" s="151"/>
      <c r="P396" s="151"/>
      <c r="Q396" s="151"/>
      <c r="R396" s="152"/>
      <c r="S396" s="152"/>
    </row>
    <row r="397" spans="1:19" ht="15" x14ac:dyDescent="0.25">
      <c r="A397" s="226"/>
      <c r="B397" s="130"/>
      <c r="C397" s="129" t="s">
        <v>380</v>
      </c>
      <c r="D397" s="118"/>
      <c r="E397" s="135"/>
      <c r="F397" s="171"/>
      <c r="G397" s="431"/>
      <c r="H397" s="425"/>
      <c r="I397" s="425"/>
      <c r="J397" s="425"/>
      <c r="K397" s="425"/>
      <c r="L397" s="425"/>
      <c r="M397" s="425"/>
      <c r="N397" s="425"/>
      <c r="O397" s="425"/>
      <c r="P397" s="425"/>
      <c r="Q397" s="425"/>
      <c r="R397" s="426"/>
      <c r="S397" s="426"/>
    </row>
    <row r="398" spans="1:19" ht="15.75" thickBot="1" x14ac:dyDescent="0.3">
      <c r="A398" s="227">
        <v>304</v>
      </c>
      <c r="B398" s="131"/>
      <c r="C398" s="116" t="s">
        <v>381</v>
      </c>
      <c r="D398" s="117"/>
      <c r="E398" s="127"/>
      <c r="F398" s="172"/>
      <c r="G398" s="432">
        <f t="shared" ref="G398:S398" si="48">+G68-G389-G394</f>
        <v>463545.40953930013</v>
      </c>
      <c r="H398" s="427">
        <f t="shared" si="48"/>
        <v>38065.127211059618</v>
      </c>
      <c r="I398" s="427">
        <f t="shared" si="48"/>
        <v>-22165.911199310154</v>
      </c>
      <c r="J398" s="427">
        <f t="shared" si="48"/>
        <v>-22165.911199310154</v>
      </c>
      <c r="K398" s="427">
        <f t="shared" si="48"/>
        <v>-22165.911199310154</v>
      </c>
      <c r="L398" s="427">
        <f t="shared" si="48"/>
        <v>-22165.911199310154</v>
      </c>
      <c r="M398" s="427">
        <f t="shared" si="48"/>
        <v>27834.088800689846</v>
      </c>
      <c r="N398" s="427">
        <f t="shared" si="48"/>
        <v>-22165.911199310154</v>
      </c>
      <c r="O398" s="427">
        <f t="shared" si="48"/>
        <v>-22165.911199310154</v>
      </c>
      <c r="P398" s="427">
        <f t="shared" si="48"/>
        <v>-22165.911199310154</v>
      </c>
      <c r="Q398" s="427">
        <f t="shared" si="48"/>
        <v>-22165.911199310154</v>
      </c>
      <c r="R398" s="428">
        <f t="shared" si="48"/>
        <v>35639.885469645902</v>
      </c>
      <c r="S398" s="428">
        <f t="shared" si="48"/>
        <v>387757.22142621595</v>
      </c>
    </row>
    <row r="399" spans="1:19" x14ac:dyDescent="0.2">
      <c r="A399" s="215"/>
      <c r="G399" s="410"/>
      <c r="H399" s="410"/>
      <c r="I399" s="410"/>
      <c r="J399" s="410"/>
      <c r="K399" s="410"/>
    </row>
    <row r="400" spans="1:19" x14ac:dyDescent="0.2">
      <c r="A400" s="215"/>
      <c r="G400" s="410"/>
      <c r="H400" s="410"/>
      <c r="I400" s="410"/>
      <c r="J400" s="410"/>
      <c r="K400" s="410"/>
    </row>
    <row r="401" spans="1:11" x14ac:dyDescent="0.2">
      <c r="A401" s="215"/>
      <c r="G401" s="410" t="s">
        <v>157</v>
      </c>
      <c r="H401" s="410"/>
      <c r="I401" s="410"/>
      <c r="J401" s="410"/>
      <c r="K401" s="410"/>
    </row>
    <row r="402" spans="1:11" x14ac:dyDescent="0.2">
      <c r="A402" s="215"/>
      <c r="G402" s="410"/>
      <c r="H402" s="410"/>
      <c r="I402" s="410"/>
      <c r="J402" s="410"/>
      <c r="K402" s="410"/>
    </row>
    <row r="403" spans="1:11" x14ac:dyDescent="0.2">
      <c r="A403" s="215"/>
    </row>
    <row r="404" spans="1:11" x14ac:dyDescent="0.2">
      <c r="A404" s="215"/>
    </row>
    <row r="405" spans="1:11" x14ac:dyDescent="0.2">
      <c r="A405" s="215"/>
    </row>
    <row r="406" spans="1:11" x14ac:dyDescent="0.2">
      <c r="A406" s="215"/>
    </row>
    <row r="407" spans="1:11" x14ac:dyDescent="0.2">
      <c r="A407" s="215"/>
    </row>
    <row r="408" spans="1:11" x14ac:dyDescent="0.2">
      <c r="A408" s="215"/>
    </row>
    <row r="409" spans="1:11" x14ac:dyDescent="0.2">
      <c r="A409" s="215"/>
    </row>
    <row r="410" spans="1:11" x14ac:dyDescent="0.2">
      <c r="A410" s="215"/>
    </row>
    <row r="411" spans="1:11" x14ac:dyDescent="0.2">
      <c r="A411" s="215"/>
    </row>
    <row r="412" spans="1:11" x14ac:dyDescent="0.2">
      <c r="A412" s="215"/>
    </row>
    <row r="413" spans="1:11" x14ac:dyDescent="0.2">
      <c r="A413" s="215"/>
    </row>
    <row r="414" spans="1:11" x14ac:dyDescent="0.2">
      <c r="A414" s="215"/>
    </row>
    <row r="415" spans="1:11" x14ac:dyDescent="0.2">
      <c r="A415" s="215"/>
    </row>
    <row r="416" spans="1:11" x14ac:dyDescent="0.2">
      <c r="A416" s="215"/>
    </row>
    <row r="417" spans="1:1" x14ac:dyDescent="0.2">
      <c r="A417" s="215"/>
    </row>
    <row r="418" spans="1:1" x14ac:dyDescent="0.2">
      <c r="A418" s="215"/>
    </row>
    <row r="419" spans="1:1" x14ac:dyDescent="0.2">
      <c r="A419" s="215"/>
    </row>
    <row r="420" spans="1:1" x14ac:dyDescent="0.2">
      <c r="A420" s="215"/>
    </row>
    <row r="421" spans="1:1" x14ac:dyDescent="0.2">
      <c r="A421" s="215"/>
    </row>
    <row r="422" spans="1:1" x14ac:dyDescent="0.2">
      <c r="A422" s="215"/>
    </row>
    <row r="423" spans="1:1" x14ac:dyDescent="0.2">
      <c r="A423" s="215"/>
    </row>
    <row r="424" spans="1:1" x14ac:dyDescent="0.2">
      <c r="A424" s="215"/>
    </row>
    <row r="425" spans="1:1" x14ac:dyDescent="0.2">
      <c r="A425" s="215"/>
    </row>
    <row r="426" spans="1:1" x14ac:dyDescent="0.2">
      <c r="A426" s="215"/>
    </row>
    <row r="427" spans="1:1" x14ac:dyDescent="0.2">
      <c r="A427" s="215"/>
    </row>
    <row r="428" spans="1:1" x14ac:dyDescent="0.2">
      <c r="A428" s="215"/>
    </row>
    <row r="429" spans="1:1" x14ac:dyDescent="0.2">
      <c r="A429" s="215"/>
    </row>
    <row r="430" spans="1:1" x14ac:dyDescent="0.2">
      <c r="A430" s="215"/>
    </row>
    <row r="431" spans="1:1" x14ac:dyDescent="0.2">
      <c r="A431" s="215"/>
    </row>
    <row r="432" spans="1:1" x14ac:dyDescent="0.2">
      <c r="A432" s="215"/>
    </row>
    <row r="433" spans="1:1" x14ac:dyDescent="0.2">
      <c r="A433" s="215"/>
    </row>
    <row r="434" spans="1:1" x14ac:dyDescent="0.2">
      <c r="A434" s="215"/>
    </row>
    <row r="435" spans="1:1" x14ac:dyDescent="0.2">
      <c r="A435" s="215"/>
    </row>
    <row r="436" spans="1:1" x14ac:dyDescent="0.2">
      <c r="A436" s="215"/>
    </row>
    <row r="437" spans="1:1" x14ac:dyDescent="0.2">
      <c r="A437" s="215"/>
    </row>
    <row r="438" spans="1:1" x14ac:dyDescent="0.2">
      <c r="A438" s="215"/>
    </row>
    <row r="439" spans="1:1" x14ac:dyDescent="0.2">
      <c r="A439" s="215"/>
    </row>
    <row r="440" spans="1:1" x14ac:dyDescent="0.2">
      <c r="A440" s="215"/>
    </row>
    <row r="441" spans="1:1" x14ac:dyDescent="0.2">
      <c r="A441" s="215"/>
    </row>
    <row r="442" spans="1:1" x14ac:dyDescent="0.2">
      <c r="A442" s="215"/>
    </row>
    <row r="443" spans="1:1" x14ac:dyDescent="0.2">
      <c r="A443" s="215"/>
    </row>
    <row r="444" spans="1:1" x14ac:dyDescent="0.2">
      <c r="A444" s="215"/>
    </row>
    <row r="445" spans="1:1" x14ac:dyDescent="0.2">
      <c r="A445" s="215"/>
    </row>
    <row r="446" spans="1:1" x14ac:dyDescent="0.2">
      <c r="A446" s="215"/>
    </row>
    <row r="447" spans="1:1" x14ac:dyDescent="0.2">
      <c r="A447" s="215"/>
    </row>
    <row r="448" spans="1:1" x14ac:dyDescent="0.2">
      <c r="A448" s="215"/>
    </row>
    <row r="449" spans="1:1" x14ac:dyDescent="0.2">
      <c r="A449" s="215"/>
    </row>
    <row r="450" spans="1:1" x14ac:dyDescent="0.2">
      <c r="A450" s="215"/>
    </row>
    <row r="451" spans="1:1" x14ac:dyDescent="0.2">
      <c r="A451" s="215"/>
    </row>
    <row r="452" spans="1:1" x14ac:dyDescent="0.2">
      <c r="A452" s="215"/>
    </row>
    <row r="453" spans="1:1" x14ac:dyDescent="0.2">
      <c r="A453" s="215"/>
    </row>
    <row r="454" spans="1:1" x14ac:dyDescent="0.2">
      <c r="A454" s="215"/>
    </row>
    <row r="455" spans="1:1" x14ac:dyDescent="0.2">
      <c r="A455" s="215"/>
    </row>
    <row r="456" spans="1:1" x14ac:dyDescent="0.2">
      <c r="A456" s="215"/>
    </row>
    <row r="457" spans="1:1" x14ac:dyDescent="0.2">
      <c r="A457" s="215"/>
    </row>
    <row r="458" spans="1:1" x14ac:dyDescent="0.2">
      <c r="A458" s="215"/>
    </row>
    <row r="459" spans="1:1" x14ac:dyDescent="0.2">
      <c r="A459" s="215"/>
    </row>
    <row r="460" spans="1:1" x14ac:dyDescent="0.2">
      <c r="A460" s="215"/>
    </row>
    <row r="461" spans="1:1" x14ac:dyDescent="0.2">
      <c r="A461" s="215"/>
    </row>
    <row r="462" spans="1:1" x14ac:dyDescent="0.2">
      <c r="A462" s="215"/>
    </row>
    <row r="463" spans="1:1" x14ac:dyDescent="0.2">
      <c r="A463" s="215"/>
    </row>
    <row r="464" spans="1:1" x14ac:dyDescent="0.2">
      <c r="A464" s="215"/>
    </row>
    <row r="465" spans="1:1" x14ac:dyDescent="0.2">
      <c r="A465" s="215"/>
    </row>
    <row r="466" spans="1:1" x14ac:dyDescent="0.2">
      <c r="A466" s="215"/>
    </row>
    <row r="467" spans="1:1" x14ac:dyDescent="0.2">
      <c r="A467" s="215"/>
    </row>
    <row r="468" spans="1:1" x14ac:dyDescent="0.2">
      <c r="A468" s="215"/>
    </row>
    <row r="469" spans="1:1" x14ac:dyDescent="0.2">
      <c r="A469" s="215"/>
    </row>
    <row r="470" spans="1:1" x14ac:dyDescent="0.2">
      <c r="A470" s="215"/>
    </row>
    <row r="471" spans="1:1" x14ac:dyDescent="0.2">
      <c r="A471" s="215"/>
    </row>
    <row r="472" spans="1:1" x14ac:dyDescent="0.2">
      <c r="A472" s="215"/>
    </row>
    <row r="473" spans="1:1" x14ac:dyDescent="0.2">
      <c r="A473" s="215"/>
    </row>
    <row r="474" spans="1:1" x14ac:dyDescent="0.2">
      <c r="A474" s="215"/>
    </row>
    <row r="475" spans="1:1" x14ac:dyDescent="0.2">
      <c r="A475" s="215"/>
    </row>
    <row r="476" spans="1:1" x14ac:dyDescent="0.2">
      <c r="A476" s="215"/>
    </row>
    <row r="477" spans="1:1" x14ac:dyDescent="0.2">
      <c r="A477" s="215"/>
    </row>
    <row r="478" spans="1:1" x14ac:dyDescent="0.2">
      <c r="A478" s="215"/>
    </row>
    <row r="479" spans="1:1" x14ac:dyDescent="0.2">
      <c r="A479" s="215"/>
    </row>
    <row r="480" spans="1:1" x14ac:dyDescent="0.2">
      <c r="A480" s="215"/>
    </row>
    <row r="481" spans="1:1" x14ac:dyDescent="0.2">
      <c r="A481" s="215"/>
    </row>
    <row r="482" spans="1:1" x14ac:dyDescent="0.2">
      <c r="A482" s="215"/>
    </row>
    <row r="483" spans="1:1" x14ac:dyDescent="0.2">
      <c r="A483" s="215"/>
    </row>
    <row r="484" spans="1:1" x14ac:dyDescent="0.2">
      <c r="A484" s="215"/>
    </row>
    <row r="485" spans="1:1" x14ac:dyDescent="0.2">
      <c r="A485" s="215"/>
    </row>
    <row r="486" spans="1:1" x14ac:dyDescent="0.2">
      <c r="A486" s="215"/>
    </row>
    <row r="487" spans="1:1" x14ac:dyDescent="0.2">
      <c r="A487" s="215"/>
    </row>
    <row r="488" spans="1:1" x14ac:dyDescent="0.2">
      <c r="A488" s="215"/>
    </row>
    <row r="489" spans="1:1" x14ac:dyDescent="0.2">
      <c r="A489" s="215"/>
    </row>
    <row r="490" spans="1:1" x14ac:dyDescent="0.2">
      <c r="A490" s="215"/>
    </row>
    <row r="491" spans="1:1" x14ac:dyDescent="0.2">
      <c r="A491" s="215"/>
    </row>
    <row r="492" spans="1:1" x14ac:dyDescent="0.2">
      <c r="A492" s="215"/>
    </row>
    <row r="493" spans="1:1" x14ac:dyDescent="0.2">
      <c r="A493" s="215"/>
    </row>
    <row r="494" spans="1:1" x14ac:dyDescent="0.2">
      <c r="A494" s="215"/>
    </row>
    <row r="495" spans="1:1" x14ac:dyDescent="0.2">
      <c r="A495" s="215"/>
    </row>
    <row r="496" spans="1:1" x14ac:dyDescent="0.2">
      <c r="A496" s="215"/>
    </row>
    <row r="497" spans="1:1" x14ac:dyDescent="0.2">
      <c r="A497" s="215"/>
    </row>
    <row r="498" spans="1:1" x14ac:dyDescent="0.2">
      <c r="A498" s="215"/>
    </row>
    <row r="499" spans="1:1" x14ac:dyDescent="0.2">
      <c r="A499" s="215"/>
    </row>
    <row r="500" spans="1:1" x14ac:dyDescent="0.2">
      <c r="A500" s="215"/>
    </row>
    <row r="501" spans="1:1" x14ac:dyDescent="0.2">
      <c r="A501" s="215"/>
    </row>
    <row r="502" spans="1:1" x14ac:dyDescent="0.2">
      <c r="A502" s="215"/>
    </row>
    <row r="503" spans="1:1" x14ac:dyDescent="0.2">
      <c r="A503" s="215"/>
    </row>
    <row r="504" spans="1:1" x14ac:dyDescent="0.2">
      <c r="A504" s="215"/>
    </row>
    <row r="505" spans="1:1" x14ac:dyDescent="0.2">
      <c r="A505" s="215"/>
    </row>
    <row r="506" spans="1:1" x14ac:dyDescent="0.2">
      <c r="A506" s="215"/>
    </row>
    <row r="507" spans="1:1" x14ac:dyDescent="0.2">
      <c r="A507" s="215"/>
    </row>
    <row r="508" spans="1:1" x14ac:dyDescent="0.2">
      <c r="A508" s="215"/>
    </row>
    <row r="509" spans="1:1" x14ac:dyDescent="0.2">
      <c r="A509" s="215"/>
    </row>
    <row r="510" spans="1:1" x14ac:dyDescent="0.2">
      <c r="A510" s="215"/>
    </row>
    <row r="511" spans="1:1" x14ac:dyDescent="0.2">
      <c r="A511" s="215"/>
    </row>
    <row r="512" spans="1:1" x14ac:dyDescent="0.2">
      <c r="A512" s="215"/>
    </row>
    <row r="513" spans="1:1" x14ac:dyDescent="0.2">
      <c r="A513" s="215"/>
    </row>
    <row r="514" spans="1:1" x14ac:dyDescent="0.2">
      <c r="A514" s="215"/>
    </row>
    <row r="515" spans="1:1" x14ac:dyDescent="0.2">
      <c r="A515" s="215"/>
    </row>
    <row r="516" spans="1:1" x14ac:dyDescent="0.2">
      <c r="A516" s="215"/>
    </row>
    <row r="517" spans="1:1" x14ac:dyDescent="0.2">
      <c r="A517" s="215"/>
    </row>
    <row r="518" spans="1:1" x14ac:dyDescent="0.2">
      <c r="A518" s="215"/>
    </row>
    <row r="519" spans="1:1" x14ac:dyDescent="0.2">
      <c r="A519" s="215"/>
    </row>
    <row r="520" spans="1:1" x14ac:dyDescent="0.2">
      <c r="A520" s="215"/>
    </row>
    <row r="521" spans="1:1" x14ac:dyDescent="0.2">
      <c r="A521" s="215"/>
    </row>
    <row r="522" spans="1:1" x14ac:dyDescent="0.2">
      <c r="A522" s="215"/>
    </row>
    <row r="523" spans="1:1" x14ac:dyDescent="0.2">
      <c r="A523" s="215"/>
    </row>
    <row r="524" spans="1:1" x14ac:dyDescent="0.2">
      <c r="A524" s="215"/>
    </row>
    <row r="525" spans="1:1" x14ac:dyDescent="0.2">
      <c r="A525" s="215"/>
    </row>
    <row r="526" spans="1:1" x14ac:dyDescent="0.2">
      <c r="A526" s="215"/>
    </row>
    <row r="527" spans="1:1" x14ac:dyDescent="0.2">
      <c r="A527" s="215"/>
    </row>
    <row r="528" spans="1:1" x14ac:dyDescent="0.2">
      <c r="A528" s="215"/>
    </row>
    <row r="529" spans="1:1" x14ac:dyDescent="0.2">
      <c r="A529" s="215"/>
    </row>
    <row r="530" spans="1:1" x14ac:dyDescent="0.2">
      <c r="A530" s="215"/>
    </row>
    <row r="531" spans="1:1" x14ac:dyDescent="0.2">
      <c r="A531" s="215"/>
    </row>
    <row r="532" spans="1:1" x14ac:dyDescent="0.2">
      <c r="A532" s="215"/>
    </row>
    <row r="533" spans="1:1" x14ac:dyDescent="0.2">
      <c r="A533" s="215"/>
    </row>
    <row r="534" spans="1:1" x14ac:dyDescent="0.2">
      <c r="A534" s="215"/>
    </row>
    <row r="535" spans="1:1" x14ac:dyDescent="0.2">
      <c r="A535" s="215"/>
    </row>
    <row r="536" spans="1:1" x14ac:dyDescent="0.2">
      <c r="A536" s="215"/>
    </row>
    <row r="537" spans="1:1" x14ac:dyDescent="0.2">
      <c r="A537" s="215"/>
    </row>
    <row r="538" spans="1:1" x14ac:dyDescent="0.2">
      <c r="A538" s="215"/>
    </row>
    <row r="539" spans="1:1" x14ac:dyDescent="0.2">
      <c r="A539" s="215"/>
    </row>
    <row r="540" spans="1:1" x14ac:dyDescent="0.2">
      <c r="A540" s="215"/>
    </row>
    <row r="541" spans="1:1" x14ac:dyDescent="0.2">
      <c r="A541" s="215"/>
    </row>
    <row r="542" spans="1:1" x14ac:dyDescent="0.2">
      <c r="A542" s="215"/>
    </row>
    <row r="543" spans="1:1" x14ac:dyDescent="0.2">
      <c r="A543" s="215"/>
    </row>
    <row r="544" spans="1:1" x14ac:dyDescent="0.2">
      <c r="A544" s="215"/>
    </row>
    <row r="545" spans="1:1" x14ac:dyDescent="0.2">
      <c r="A545" s="215"/>
    </row>
    <row r="546" spans="1:1" x14ac:dyDescent="0.2">
      <c r="A546" s="215"/>
    </row>
    <row r="547" spans="1:1" x14ac:dyDescent="0.2">
      <c r="A547" s="215"/>
    </row>
    <row r="548" spans="1:1" x14ac:dyDescent="0.2">
      <c r="A548" s="215"/>
    </row>
    <row r="549" spans="1:1" x14ac:dyDescent="0.2">
      <c r="A549" s="215"/>
    </row>
    <row r="550" spans="1:1" x14ac:dyDescent="0.2">
      <c r="A550" s="215"/>
    </row>
    <row r="551" spans="1:1" x14ac:dyDescent="0.2">
      <c r="A551" s="215"/>
    </row>
    <row r="552" spans="1:1" x14ac:dyDescent="0.2">
      <c r="A552" s="215"/>
    </row>
    <row r="553" spans="1:1" x14ac:dyDescent="0.2">
      <c r="A553" s="215"/>
    </row>
    <row r="554" spans="1:1" x14ac:dyDescent="0.2">
      <c r="A554" s="215"/>
    </row>
    <row r="555" spans="1:1" x14ac:dyDescent="0.2">
      <c r="A555" s="215"/>
    </row>
    <row r="556" spans="1:1" x14ac:dyDescent="0.2">
      <c r="A556" s="215"/>
    </row>
    <row r="557" spans="1:1" x14ac:dyDescent="0.2">
      <c r="A557" s="215"/>
    </row>
    <row r="558" spans="1:1" x14ac:dyDescent="0.2">
      <c r="A558" s="215"/>
    </row>
    <row r="559" spans="1:1" x14ac:dyDescent="0.2">
      <c r="A559" s="215"/>
    </row>
    <row r="560" spans="1:1" x14ac:dyDescent="0.2">
      <c r="A560" s="215"/>
    </row>
    <row r="561" spans="1:1" x14ac:dyDescent="0.2">
      <c r="A561" s="215"/>
    </row>
    <row r="562" spans="1:1" x14ac:dyDescent="0.2">
      <c r="A562" s="215"/>
    </row>
    <row r="563" spans="1:1" x14ac:dyDescent="0.2">
      <c r="A563" s="215"/>
    </row>
    <row r="564" spans="1:1" x14ac:dyDescent="0.2">
      <c r="A564" s="215"/>
    </row>
    <row r="565" spans="1:1" x14ac:dyDescent="0.2">
      <c r="A565" s="215"/>
    </row>
    <row r="566" spans="1:1" x14ac:dyDescent="0.2">
      <c r="A566" s="215"/>
    </row>
    <row r="567" spans="1:1" x14ac:dyDescent="0.2">
      <c r="A567" s="215"/>
    </row>
    <row r="568" spans="1:1" x14ac:dyDescent="0.2">
      <c r="A568" s="215"/>
    </row>
    <row r="569" spans="1:1" x14ac:dyDescent="0.2">
      <c r="A569" s="215"/>
    </row>
    <row r="570" spans="1:1" x14ac:dyDescent="0.2">
      <c r="A570" s="215"/>
    </row>
    <row r="571" spans="1:1" x14ac:dyDescent="0.2">
      <c r="A571" s="215"/>
    </row>
    <row r="572" spans="1:1" x14ac:dyDescent="0.2">
      <c r="A572" s="215"/>
    </row>
    <row r="573" spans="1:1" x14ac:dyDescent="0.2">
      <c r="A573" s="215"/>
    </row>
    <row r="574" spans="1:1" x14ac:dyDescent="0.2">
      <c r="A574" s="215"/>
    </row>
    <row r="575" spans="1:1" x14ac:dyDescent="0.2">
      <c r="A575" s="215"/>
    </row>
    <row r="576" spans="1:1" x14ac:dyDescent="0.2">
      <c r="A576" s="215"/>
    </row>
    <row r="577" spans="1:1" x14ac:dyDescent="0.2">
      <c r="A577" s="215"/>
    </row>
    <row r="578" spans="1:1" x14ac:dyDescent="0.2">
      <c r="A578" s="215"/>
    </row>
    <row r="579" spans="1:1" x14ac:dyDescent="0.2">
      <c r="A579" s="215"/>
    </row>
    <row r="580" spans="1:1" x14ac:dyDescent="0.2">
      <c r="A580" s="215"/>
    </row>
    <row r="581" spans="1:1" x14ac:dyDescent="0.2">
      <c r="A581" s="215"/>
    </row>
    <row r="582" spans="1:1" x14ac:dyDescent="0.2">
      <c r="A582" s="215"/>
    </row>
    <row r="583" spans="1:1" x14ac:dyDescent="0.2">
      <c r="A583" s="215"/>
    </row>
    <row r="584" spans="1:1" x14ac:dyDescent="0.2">
      <c r="A584" s="215"/>
    </row>
    <row r="585" spans="1:1" x14ac:dyDescent="0.2">
      <c r="A585" s="215"/>
    </row>
    <row r="586" spans="1:1" x14ac:dyDescent="0.2">
      <c r="A586" s="215"/>
    </row>
    <row r="587" spans="1:1" x14ac:dyDescent="0.2">
      <c r="A587" s="215"/>
    </row>
    <row r="588" spans="1:1" x14ac:dyDescent="0.2">
      <c r="A588" s="215"/>
    </row>
    <row r="589" spans="1:1" x14ac:dyDescent="0.2">
      <c r="A589" s="215"/>
    </row>
    <row r="590" spans="1:1" x14ac:dyDescent="0.2">
      <c r="A590" s="215"/>
    </row>
    <row r="591" spans="1:1" x14ac:dyDescent="0.2">
      <c r="A591" s="215"/>
    </row>
    <row r="592" spans="1:1" x14ac:dyDescent="0.2">
      <c r="A592" s="215"/>
    </row>
    <row r="593" spans="1:1" x14ac:dyDescent="0.2">
      <c r="A593" s="215"/>
    </row>
    <row r="594" spans="1:1" x14ac:dyDescent="0.2">
      <c r="A594" s="215"/>
    </row>
    <row r="595" spans="1:1" x14ac:dyDescent="0.2">
      <c r="A595" s="215"/>
    </row>
    <row r="596" spans="1:1" x14ac:dyDescent="0.2">
      <c r="A596" s="215"/>
    </row>
    <row r="597" spans="1:1" x14ac:dyDescent="0.2">
      <c r="A597" s="215"/>
    </row>
    <row r="598" spans="1:1" x14ac:dyDescent="0.2">
      <c r="A598" s="215"/>
    </row>
    <row r="599" spans="1:1" x14ac:dyDescent="0.2">
      <c r="A599" s="215"/>
    </row>
    <row r="600" spans="1:1" x14ac:dyDescent="0.2">
      <c r="A600" s="215"/>
    </row>
    <row r="601" spans="1:1" x14ac:dyDescent="0.2">
      <c r="A601" s="215"/>
    </row>
    <row r="602" spans="1:1" x14ac:dyDescent="0.2">
      <c r="A602" s="215"/>
    </row>
    <row r="603" spans="1:1" x14ac:dyDescent="0.2">
      <c r="A603" s="215"/>
    </row>
    <row r="604" spans="1:1" x14ac:dyDescent="0.2">
      <c r="A604" s="215"/>
    </row>
    <row r="605" spans="1:1" x14ac:dyDescent="0.2">
      <c r="A605" s="215"/>
    </row>
    <row r="606" spans="1:1" x14ac:dyDescent="0.2">
      <c r="A606" s="215"/>
    </row>
    <row r="607" spans="1:1" x14ac:dyDescent="0.2">
      <c r="A607" s="215"/>
    </row>
    <row r="608" spans="1:1" x14ac:dyDescent="0.2">
      <c r="A608" s="215"/>
    </row>
    <row r="609" spans="1:1" x14ac:dyDescent="0.2">
      <c r="A609" s="215"/>
    </row>
    <row r="610" spans="1:1" x14ac:dyDescent="0.2">
      <c r="A610" s="215"/>
    </row>
    <row r="611" spans="1:1" x14ac:dyDescent="0.2">
      <c r="A611" s="215"/>
    </row>
    <row r="612" spans="1:1" x14ac:dyDescent="0.2">
      <c r="A612" s="215"/>
    </row>
    <row r="613" spans="1:1" x14ac:dyDescent="0.2">
      <c r="A613" s="215"/>
    </row>
    <row r="614" spans="1:1" x14ac:dyDescent="0.2">
      <c r="A614" s="215"/>
    </row>
    <row r="615" spans="1:1" x14ac:dyDescent="0.2">
      <c r="A615" s="215"/>
    </row>
    <row r="616" spans="1:1" x14ac:dyDescent="0.2">
      <c r="A616" s="215"/>
    </row>
    <row r="617" spans="1:1" x14ac:dyDescent="0.2">
      <c r="A617" s="215"/>
    </row>
    <row r="618" spans="1:1" x14ac:dyDescent="0.2">
      <c r="A618" s="215"/>
    </row>
    <row r="619" spans="1:1" x14ac:dyDescent="0.2">
      <c r="A619" s="215"/>
    </row>
    <row r="620" spans="1:1" x14ac:dyDescent="0.2">
      <c r="A620" s="215"/>
    </row>
    <row r="621" spans="1:1" x14ac:dyDescent="0.2">
      <c r="A621" s="215"/>
    </row>
    <row r="622" spans="1:1" x14ac:dyDescent="0.2">
      <c r="A622" s="215"/>
    </row>
    <row r="623" spans="1:1" x14ac:dyDescent="0.2">
      <c r="A623" s="215"/>
    </row>
    <row r="624" spans="1:1" x14ac:dyDescent="0.2">
      <c r="A624" s="215"/>
    </row>
    <row r="625" spans="1:1" x14ac:dyDescent="0.2">
      <c r="A625" s="215"/>
    </row>
    <row r="626" spans="1:1" x14ac:dyDescent="0.2">
      <c r="A626" s="215"/>
    </row>
    <row r="627" spans="1:1" x14ac:dyDescent="0.2">
      <c r="A627" s="215"/>
    </row>
    <row r="628" spans="1:1" x14ac:dyDescent="0.2">
      <c r="A628" s="215"/>
    </row>
    <row r="629" spans="1:1" x14ac:dyDescent="0.2">
      <c r="A629" s="215"/>
    </row>
    <row r="630" spans="1:1" x14ac:dyDescent="0.2">
      <c r="A630" s="215"/>
    </row>
    <row r="631" spans="1:1" x14ac:dyDescent="0.2">
      <c r="A631" s="215"/>
    </row>
    <row r="632" spans="1:1" x14ac:dyDescent="0.2">
      <c r="A632" s="215"/>
    </row>
    <row r="633" spans="1:1" x14ac:dyDescent="0.2">
      <c r="A633" s="215"/>
    </row>
    <row r="634" spans="1:1" x14ac:dyDescent="0.2">
      <c r="A634" s="215"/>
    </row>
    <row r="635" spans="1:1" x14ac:dyDescent="0.2">
      <c r="A635" s="215"/>
    </row>
    <row r="636" spans="1:1" x14ac:dyDescent="0.2">
      <c r="A636" s="215"/>
    </row>
    <row r="637" spans="1:1" x14ac:dyDescent="0.2">
      <c r="A637" s="215"/>
    </row>
    <row r="638" spans="1:1" x14ac:dyDescent="0.2">
      <c r="A638" s="215"/>
    </row>
    <row r="639" spans="1:1" x14ac:dyDescent="0.2">
      <c r="A639" s="215"/>
    </row>
    <row r="640" spans="1:1" x14ac:dyDescent="0.2">
      <c r="A640" s="215"/>
    </row>
    <row r="641" spans="1:1" x14ac:dyDescent="0.2">
      <c r="A641" s="215"/>
    </row>
    <row r="642" spans="1:1" x14ac:dyDescent="0.2">
      <c r="A642" s="215"/>
    </row>
    <row r="643" spans="1:1" x14ac:dyDescent="0.2">
      <c r="A643" s="215"/>
    </row>
    <row r="644" spans="1:1" x14ac:dyDescent="0.2">
      <c r="A644" s="215"/>
    </row>
    <row r="645" spans="1:1" x14ac:dyDescent="0.2">
      <c r="A645" s="215"/>
    </row>
    <row r="646" spans="1:1" x14ac:dyDescent="0.2">
      <c r="A646" s="215"/>
    </row>
    <row r="647" spans="1:1" x14ac:dyDescent="0.2">
      <c r="A647" s="215"/>
    </row>
    <row r="648" spans="1:1" x14ac:dyDescent="0.2">
      <c r="A648" s="215"/>
    </row>
    <row r="649" spans="1:1" x14ac:dyDescent="0.2">
      <c r="A649" s="215"/>
    </row>
    <row r="650" spans="1:1" x14ac:dyDescent="0.2">
      <c r="A650" s="215"/>
    </row>
    <row r="651" spans="1:1" x14ac:dyDescent="0.2">
      <c r="A651" s="215"/>
    </row>
    <row r="652" spans="1:1" x14ac:dyDescent="0.2">
      <c r="A652" s="215"/>
    </row>
    <row r="653" spans="1:1" x14ac:dyDescent="0.2">
      <c r="A653" s="215"/>
    </row>
    <row r="654" spans="1:1" x14ac:dyDescent="0.2">
      <c r="A654" s="215"/>
    </row>
    <row r="655" spans="1:1" x14ac:dyDescent="0.2">
      <c r="A655" s="215"/>
    </row>
    <row r="656" spans="1:1" x14ac:dyDescent="0.2">
      <c r="A656" s="215"/>
    </row>
    <row r="657" spans="1:1" x14ac:dyDescent="0.2">
      <c r="A657" s="215"/>
    </row>
    <row r="658" spans="1:1" x14ac:dyDescent="0.2">
      <c r="A658" s="215"/>
    </row>
    <row r="659" spans="1:1" x14ac:dyDescent="0.2">
      <c r="A659" s="215"/>
    </row>
    <row r="660" spans="1:1" x14ac:dyDescent="0.2">
      <c r="A660" s="215"/>
    </row>
    <row r="661" spans="1:1" x14ac:dyDescent="0.2">
      <c r="A661" s="215"/>
    </row>
    <row r="662" spans="1:1" x14ac:dyDescent="0.2">
      <c r="A662" s="215"/>
    </row>
    <row r="663" spans="1:1" x14ac:dyDescent="0.2">
      <c r="A663" s="215"/>
    </row>
    <row r="664" spans="1:1" x14ac:dyDescent="0.2">
      <c r="A664" s="215"/>
    </row>
    <row r="665" spans="1:1" x14ac:dyDescent="0.2">
      <c r="A665" s="215"/>
    </row>
    <row r="666" spans="1:1" x14ac:dyDescent="0.2">
      <c r="A666" s="215"/>
    </row>
    <row r="667" spans="1:1" x14ac:dyDescent="0.2">
      <c r="A667" s="215"/>
    </row>
    <row r="668" spans="1:1" x14ac:dyDescent="0.2">
      <c r="A668" s="215"/>
    </row>
    <row r="669" spans="1:1" x14ac:dyDescent="0.2">
      <c r="A669" s="215"/>
    </row>
    <row r="670" spans="1:1" x14ac:dyDescent="0.2">
      <c r="A670" s="215"/>
    </row>
    <row r="671" spans="1:1" x14ac:dyDescent="0.2">
      <c r="A671" s="215"/>
    </row>
    <row r="672" spans="1:1" x14ac:dyDescent="0.2">
      <c r="A672" s="215"/>
    </row>
    <row r="673" spans="1:1" x14ac:dyDescent="0.2">
      <c r="A673" s="215"/>
    </row>
    <row r="674" spans="1:1" x14ac:dyDescent="0.2">
      <c r="A674" s="215"/>
    </row>
    <row r="675" spans="1:1" x14ac:dyDescent="0.2">
      <c r="A675" s="215"/>
    </row>
    <row r="676" spans="1:1" x14ac:dyDescent="0.2">
      <c r="A676" s="215"/>
    </row>
    <row r="677" spans="1:1" x14ac:dyDescent="0.2">
      <c r="A677" s="215"/>
    </row>
    <row r="678" spans="1:1" x14ac:dyDescent="0.2">
      <c r="A678" s="215"/>
    </row>
    <row r="679" spans="1:1" x14ac:dyDescent="0.2">
      <c r="A679" s="215"/>
    </row>
    <row r="680" spans="1:1" x14ac:dyDescent="0.2">
      <c r="A680" s="215"/>
    </row>
    <row r="681" spans="1:1" x14ac:dyDescent="0.2">
      <c r="A681" s="215"/>
    </row>
    <row r="682" spans="1:1" x14ac:dyDescent="0.2">
      <c r="A682" s="215"/>
    </row>
    <row r="683" spans="1:1" x14ac:dyDescent="0.2">
      <c r="A683" s="215"/>
    </row>
    <row r="684" spans="1:1" x14ac:dyDescent="0.2">
      <c r="A684" s="215"/>
    </row>
    <row r="685" spans="1:1" x14ac:dyDescent="0.2">
      <c r="A685" s="215"/>
    </row>
    <row r="686" spans="1:1" x14ac:dyDescent="0.2">
      <c r="A686" s="215"/>
    </row>
    <row r="687" spans="1:1" x14ac:dyDescent="0.2">
      <c r="A687" s="215"/>
    </row>
    <row r="688" spans="1:1" x14ac:dyDescent="0.2">
      <c r="A688" s="215"/>
    </row>
    <row r="689" spans="1:1" x14ac:dyDescent="0.2">
      <c r="A689" s="215"/>
    </row>
    <row r="690" spans="1:1" x14ac:dyDescent="0.2">
      <c r="A690" s="215"/>
    </row>
    <row r="691" spans="1:1" x14ac:dyDescent="0.2">
      <c r="A691" s="215"/>
    </row>
    <row r="692" spans="1:1" x14ac:dyDescent="0.2">
      <c r="A692" s="215"/>
    </row>
    <row r="693" spans="1:1" x14ac:dyDescent="0.2">
      <c r="A693" s="215"/>
    </row>
    <row r="694" spans="1:1" x14ac:dyDescent="0.2">
      <c r="A694" s="215"/>
    </row>
    <row r="695" spans="1:1" x14ac:dyDescent="0.2">
      <c r="A695" s="215"/>
    </row>
    <row r="696" spans="1:1" x14ac:dyDescent="0.2">
      <c r="A696" s="215"/>
    </row>
  </sheetData>
  <mergeCells count="18">
    <mergeCell ref="A36:K36"/>
    <mergeCell ref="K4:K5"/>
    <mergeCell ref="B4:D5"/>
    <mergeCell ref="H4:H5"/>
    <mergeCell ref="I4:I5"/>
    <mergeCell ref="J4:J5"/>
    <mergeCell ref="E4:E5"/>
    <mergeCell ref="F4:F5"/>
    <mergeCell ref="G4:G5"/>
    <mergeCell ref="A2:S2"/>
    <mergeCell ref="P4:P5"/>
    <mergeCell ref="Q4:Q5"/>
    <mergeCell ref="R4:R5"/>
    <mergeCell ref="S4:S5"/>
    <mergeCell ref="L4:L5"/>
    <mergeCell ref="M4:M5"/>
    <mergeCell ref="N4:N5"/>
    <mergeCell ref="O4:O5"/>
  </mergeCells>
  <phoneticPr fontId="0" type="noConversion"/>
  <printOptions horizontalCentered="1"/>
  <pageMargins left="0.27" right="0.16" top="0.17" bottom="0.26" header="0.28999999999999998" footer="0.17"/>
  <pageSetup paperSize="5" scale="67" orientation="landscape" r:id="rId1"/>
  <headerFooter alignWithMargins="0"/>
  <rowBreaks count="14" manualBreakCount="14">
    <brk id="38" max="16383" man="1"/>
    <brk id="71" max="16383" man="1"/>
    <brk id="98" max="16383" man="1"/>
    <brk id="125" max="16383" man="1"/>
    <brk id="152" max="16383" man="1"/>
    <brk id="186" max="16383" man="1"/>
    <brk id="201" max="16383" man="1"/>
    <brk id="226" max="16383" man="1"/>
    <brk id="251" max="16383" man="1"/>
    <brk id="283" max="16383" man="1"/>
    <brk id="305" max="16383" man="1"/>
    <brk id="324" max="16383" man="1"/>
    <brk id="347" max="16383" man="1"/>
    <brk id="376"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workbookViewId="0">
      <pane ySplit="2" topLeftCell="A36" activePane="bottomLeft" state="frozen"/>
      <selection pane="bottomLeft" activeCell="G16" sqref="G16"/>
    </sheetView>
  </sheetViews>
  <sheetFormatPr defaultRowHeight="12.75" x14ac:dyDescent="0.2"/>
  <cols>
    <col min="1" max="1" width="9.5703125" bestFit="1" customWidth="1"/>
    <col min="2" max="2" width="24.140625" bestFit="1" customWidth="1"/>
    <col min="3" max="3" width="6.28515625" bestFit="1" customWidth="1"/>
    <col min="4" max="4" width="16.28515625" bestFit="1" customWidth="1"/>
    <col min="5" max="5" width="17.42578125" bestFit="1" customWidth="1"/>
    <col min="6" max="6" width="42.140625" bestFit="1" customWidth="1"/>
    <col min="7" max="7" width="19" bestFit="1" customWidth="1"/>
    <col min="8" max="8" width="18.28515625" bestFit="1" customWidth="1"/>
    <col min="9" max="9" width="14.85546875" bestFit="1" customWidth="1"/>
    <col min="10" max="10" width="22.7109375" bestFit="1" customWidth="1"/>
    <col min="11" max="11" width="17" customWidth="1"/>
  </cols>
  <sheetData>
    <row r="1" spans="1:11" ht="36" customHeight="1" x14ac:dyDescent="0.2">
      <c r="A1" s="632" t="s">
        <v>418</v>
      </c>
      <c r="B1" s="633"/>
      <c r="C1" s="633"/>
      <c r="D1" s="633"/>
      <c r="E1" s="633"/>
      <c r="F1" s="633"/>
      <c r="G1" s="633"/>
      <c r="H1" s="633"/>
      <c r="I1" s="633"/>
      <c r="J1" s="633"/>
      <c r="K1" s="633"/>
    </row>
    <row r="2" spans="1:11" ht="45.75" customHeight="1" x14ac:dyDescent="0.25">
      <c r="A2" s="341" t="s">
        <v>419</v>
      </c>
      <c r="B2" s="341" t="s">
        <v>420</v>
      </c>
      <c r="C2" s="341" t="s">
        <v>421</v>
      </c>
      <c r="D2" s="341" t="s">
        <v>422</v>
      </c>
      <c r="E2" s="341" t="s">
        <v>423</v>
      </c>
      <c r="F2" s="342" t="s">
        <v>424</v>
      </c>
      <c r="G2" s="343" t="s">
        <v>425</v>
      </c>
      <c r="H2" s="344" t="s">
        <v>426</v>
      </c>
      <c r="I2" s="345" t="s">
        <v>427</v>
      </c>
      <c r="J2" s="345" t="s">
        <v>188</v>
      </c>
      <c r="K2" s="345" t="s">
        <v>428</v>
      </c>
    </row>
    <row r="3" spans="1:11" x14ac:dyDescent="0.2">
      <c r="A3" s="346" t="s">
        <v>429</v>
      </c>
      <c r="B3" s="346" t="s">
        <v>430</v>
      </c>
      <c r="C3" s="346">
        <v>1</v>
      </c>
      <c r="D3" s="346" t="s">
        <v>431</v>
      </c>
      <c r="E3" s="346" t="s">
        <v>157</v>
      </c>
      <c r="F3" s="346" t="s">
        <v>432</v>
      </c>
      <c r="G3" s="348">
        <v>46300</v>
      </c>
      <c r="H3" s="349">
        <v>3692.52</v>
      </c>
      <c r="I3" s="349">
        <f t="shared" ref="I3:I34" si="0">+G3*6.2%</f>
        <v>2870.6</v>
      </c>
      <c r="J3" s="349">
        <f t="shared" ref="J3:J34" si="1">+G3*1.45%</f>
        <v>671.34999999999991</v>
      </c>
      <c r="K3" s="349">
        <v>2315</v>
      </c>
    </row>
    <row r="4" spans="1:11" x14ac:dyDescent="0.2">
      <c r="A4" s="346" t="s">
        <v>429</v>
      </c>
      <c r="B4" s="346" t="s">
        <v>430</v>
      </c>
      <c r="C4" s="346">
        <v>1</v>
      </c>
      <c r="D4" s="346" t="s">
        <v>433</v>
      </c>
      <c r="E4" s="346"/>
      <c r="F4" s="346" t="s">
        <v>432</v>
      </c>
      <c r="G4" s="348">
        <v>46300</v>
      </c>
      <c r="H4" s="349">
        <v>3692.52</v>
      </c>
      <c r="I4" s="349">
        <f t="shared" si="0"/>
        <v>2870.6</v>
      </c>
      <c r="J4" s="349">
        <f t="shared" si="1"/>
        <v>671.34999999999991</v>
      </c>
      <c r="K4" s="349">
        <v>2315</v>
      </c>
    </row>
    <row r="5" spans="1:11" x14ac:dyDescent="0.2">
      <c r="A5" s="346" t="s">
        <v>429</v>
      </c>
      <c r="B5" s="346" t="s">
        <v>430</v>
      </c>
      <c r="C5" s="346">
        <v>1</v>
      </c>
      <c r="D5" s="346" t="s">
        <v>434</v>
      </c>
      <c r="E5" s="346"/>
      <c r="F5" s="346" t="s">
        <v>432</v>
      </c>
      <c r="G5" s="348">
        <v>46300</v>
      </c>
      <c r="H5" s="349">
        <v>3692.52</v>
      </c>
      <c r="I5" s="349">
        <f t="shared" si="0"/>
        <v>2870.6</v>
      </c>
      <c r="J5" s="349">
        <f t="shared" si="1"/>
        <v>671.34999999999991</v>
      </c>
      <c r="K5" s="349">
        <v>2315</v>
      </c>
    </row>
    <row r="6" spans="1:11" x14ac:dyDescent="0.2">
      <c r="A6" s="346" t="s">
        <v>429</v>
      </c>
      <c r="B6" s="346" t="s">
        <v>430</v>
      </c>
      <c r="C6" s="346">
        <v>1</v>
      </c>
      <c r="D6" s="346" t="s">
        <v>435</v>
      </c>
      <c r="E6" s="346"/>
      <c r="F6" s="346" t="s">
        <v>432</v>
      </c>
      <c r="G6" s="348">
        <v>46300</v>
      </c>
      <c r="H6" s="349">
        <v>3692.52</v>
      </c>
      <c r="I6" s="349">
        <f t="shared" si="0"/>
        <v>2870.6</v>
      </c>
      <c r="J6" s="349">
        <f t="shared" si="1"/>
        <v>671.34999999999991</v>
      </c>
      <c r="K6" s="349">
        <v>2315</v>
      </c>
    </row>
    <row r="7" spans="1:11" x14ac:dyDescent="0.2">
      <c r="A7" s="346" t="s">
        <v>429</v>
      </c>
      <c r="B7" s="346" t="s">
        <v>436</v>
      </c>
      <c r="C7" s="346">
        <v>1</v>
      </c>
      <c r="D7" s="346"/>
      <c r="E7" s="346"/>
      <c r="F7" s="346" t="s">
        <v>432</v>
      </c>
      <c r="G7" s="348">
        <v>33000</v>
      </c>
      <c r="H7" s="349">
        <v>3692.52</v>
      </c>
      <c r="I7" s="349">
        <f t="shared" si="0"/>
        <v>2046</v>
      </c>
      <c r="J7" s="349">
        <f t="shared" si="1"/>
        <v>478.49999999999994</v>
      </c>
      <c r="K7" s="349">
        <v>1650</v>
      </c>
    </row>
    <row r="8" spans="1:11" x14ac:dyDescent="0.2">
      <c r="A8" s="346" t="s">
        <v>429</v>
      </c>
      <c r="B8" s="346" t="s">
        <v>436</v>
      </c>
      <c r="C8" s="346">
        <v>1</v>
      </c>
      <c r="D8" s="346"/>
      <c r="E8" s="346"/>
      <c r="F8" s="346" t="s">
        <v>432</v>
      </c>
      <c r="G8" s="348">
        <v>33000</v>
      </c>
      <c r="H8" s="349">
        <v>3692.52</v>
      </c>
      <c r="I8" s="349">
        <f t="shared" si="0"/>
        <v>2046</v>
      </c>
      <c r="J8" s="349">
        <f t="shared" si="1"/>
        <v>478.49999999999994</v>
      </c>
      <c r="K8" s="349">
        <v>1650</v>
      </c>
    </row>
    <row r="9" spans="1:11" x14ac:dyDescent="0.2">
      <c r="A9" s="346" t="s">
        <v>429</v>
      </c>
      <c r="B9" s="346" t="s">
        <v>436</v>
      </c>
      <c r="C9" s="346">
        <v>1</v>
      </c>
      <c r="D9" s="346"/>
      <c r="E9" s="346"/>
      <c r="F9" s="346" t="s">
        <v>432</v>
      </c>
      <c r="G9" s="348">
        <v>33000</v>
      </c>
      <c r="H9" s="349">
        <v>3692.52</v>
      </c>
      <c r="I9" s="349">
        <f t="shared" si="0"/>
        <v>2046</v>
      </c>
      <c r="J9" s="349">
        <f t="shared" si="1"/>
        <v>478.49999999999994</v>
      </c>
      <c r="K9" s="349">
        <v>1650</v>
      </c>
    </row>
    <row r="10" spans="1:11" x14ac:dyDescent="0.2">
      <c r="A10" s="346" t="s">
        <v>429</v>
      </c>
      <c r="B10" s="346" t="s">
        <v>436</v>
      </c>
      <c r="C10" s="346">
        <v>1</v>
      </c>
      <c r="D10" s="346"/>
      <c r="E10" s="346"/>
      <c r="F10" s="346" t="s">
        <v>432</v>
      </c>
      <c r="G10" s="348">
        <v>33000</v>
      </c>
      <c r="H10" s="349">
        <v>3692.52</v>
      </c>
      <c r="I10" s="349">
        <f t="shared" si="0"/>
        <v>2046</v>
      </c>
      <c r="J10" s="349">
        <f t="shared" si="1"/>
        <v>478.49999999999994</v>
      </c>
      <c r="K10" s="349">
        <v>1650</v>
      </c>
    </row>
    <row r="11" spans="1:11" x14ac:dyDescent="0.2">
      <c r="A11" s="346" t="s">
        <v>437</v>
      </c>
      <c r="B11" s="346" t="s">
        <v>438</v>
      </c>
      <c r="C11" s="346">
        <v>1</v>
      </c>
      <c r="D11" s="346"/>
      <c r="E11" s="346"/>
      <c r="F11" s="346" t="s">
        <v>225</v>
      </c>
      <c r="G11" s="348">
        <v>65000</v>
      </c>
      <c r="H11" s="349">
        <v>3692.52</v>
      </c>
      <c r="I11" s="349">
        <f t="shared" si="0"/>
        <v>4030</v>
      </c>
      <c r="J11" s="349">
        <f t="shared" si="1"/>
        <v>942.49999999999989</v>
      </c>
      <c r="K11" s="349">
        <v>3250</v>
      </c>
    </row>
    <row r="12" spans="1:11" x14ac:dyDescent="0.2">
      <c r="A12" s="346" t="s">
        <v>437</v>
      </c>
      <c r="B12" s="346" t="s">
        <v>438</v>
      </c>
      <c r="C12" s="346">
        <v>1</v>
      </c>
      <c r="D12" s="346"/>
      <c r="E12" s="346"/>
      <c r="F12" s="346" t="s">
        <v>225</v>
      </c>
      <c r="G12" s="348">
        <v>65000</v>
      </c>
      <c r="H12" s="349">
        <v>3692.52</v>
      </c>
      <c r="I12" s="349">
        <f t="shared" si="0"/>
        <v>4030</v>
      </c>
      <c r="J12" s="349">
        <f t="shared" si="1"/>
        <v>942.49999999999989</v>
      </c>
      <c r="K12" s="349">
        <v>3250</v>
      </c>
    </row>
    <row r="13" spans="1:11" x14ac:dyDescent="0.2">
      <c r="A13" s="346" t="s">
        <v>437</v>
      </c>
      <c r="B13" s="346" t="s">
        <v>439</v>
      </c>
      <c r="C13" s="346">
        <v>1</v>
      </c>
      <c r="D13" s="346"/>
      <c r="E13" s="346"/>
      <c r="F13" s="346" t="s">
        <v>225</v>
      </c>
      <c r="G13" s="348">
        <v>60000</v>
      </c>
      <c r="H13" s="349">
        <v>3692.52</v>
      </c>
      <c r="I13" s="349">
        <f t="shared" si="0"/>
        <v>3720</v>
      </c>
      <c r="J13" s="349">
        <f t="shared" si="1"/>
        <v>869.99999999999989</v>
      </c>
      <c r="K13" s="349">
        <v>3000</v>
      </c>
    </row>
    <row r="14" spans="1:11" ht="25.5" x14ac:dyDescent="0.2">
      <c r="A14" s="346" t="s">
        <v>437</v>
      </c>
      <c r="B14" s="347" t="s">
        <v>440</v>
      </c>
      <c r="C14" s="346">
        <v>1</v>
      </c>
      <c r="D14" s="346"/>
      <c r="E14" s="346"/>
      <c r="F14" s="346" t="s">
        <v>250</v>
      </c>
      <c r="G14" s="348">
        <v>92500</v>
      </c>
      <c r="H14" s="349">
        <v>3692.52</v>
      </c>
      <c r="I14" s="349">
        <f t="shared" si="0"/>
        <v>5735</v>
      </c>
      <c r="J14" s="349">
        <f t="shared" si="1"/>
        <v>1341.25</v>
      </c>
      <c r="K14" s="349">
        <v>4625</v>
      </c>
    </row>
    <row r="15" spans="1:11" x14ac:dyDescent="0.2">
      <c r="A15" s="346" t="s">
        <v>437</v>
      </c>
      <c r="B15" s="346" t="s">
        <v>441</v>
      </c>
      <c r="C15" s="346">
        <v>1</v>
      </c>
      <c r="D15" s="346"/>
      <c r="E15" s="346"/>
      <c r="F15" s="346" t="s">
        <v>250</v>
      </c>
      <c r="G15" s="348">
        <v>35000</v>
      </c>
      <c r="H15" s="349">
        <v>3692.52</v>
      </c>
      <c r="I15" s="349">
        <f t="shared" si="0"/>
        <v>2170</v>
      </c>
      <c r="J15" s="349">
        <f t="shared" si="1"/>
        <v>507.49999999999994</v>
      </c>
      <c r="K15" s="349">
        <v>1750</v>
      </c>
    </row>
    <row r="16" spans="1:11" x14ac:dyDescent="0.2">
      <c r="A16" s="346" t="s">
        <v>437</v>
      </c>
      <c r="B16" s="346" t="s">
        <v>441</v>
      </c>
      <c r="C16" s="346">
        <v>1</v>
      </c>
      <c r="D16" s="346"/>
      <c r="E16" s="346"/>
      <c r="F16" s="346" t="s">
        <v>250</v>
      </c>
      <c r="G16" s="348">
        <v>30000</v>
      </c>
      <c r="H16" s="349">
        <v>3692.52</v>
      </c>
      <c r="I16" s="349">
        <f t="shared" si="0"/>
        <v>1860</v>
      </c>
      <c r="J16" s="349">
        <f t="shared" si="1"/>
        <v>434.99999999999994</v>
      </c>
      <c r="K16" s="349">
        <v>1500</v>
      </c>
    </row>
    <row r="17" spans="1:11" x14ac:dyDescent="0.2">
      <c r="A17" s="346" t="s">
        <v>437</v>
      </c>
      <c r="B17" s="346" t="s">
        <v>41</v>
      </c>
      <c r="C17" s="346">
        <v>1</v>
      </c>
      <c r="D17" s="346"/>
      <c r="E17" s="346"/>
      <c r="F17" s="346" t="s">
        <v>250</v>
      </c>
      <c r="G17" s="348">
        <v>100000</v>
      </c>
      <c r="H17" s="349">
        <v>3692.52</v>
      </c>
      <c r="I17" s="349">
        <f t="shared" si="0"/>
        <v>6200</v>
      </c>
      <c r="J17" s="349">
        <f t="shared" si="1"/>
        <v>1450</v>
      </c>
      <c r="K17" s="349">
        <v>5000</v>
      </c>
    </row>
    <row r="18" spans="1:11" x14ac:dyDescent="0.2">
      <c r="A18" s="346" t="s">
        <v>437</v>
      </c>
      <c r="B18" s="346" t="s">
        <v>442</v>
      </c>
      <c r="C18" s="346">
        <v>1</v>
      </c>
      <c r="D18" s="346"/>
      <c r="E18" s="346"/>
      <c r="F18" s="346" t="s">
        <v>268</v>
      </c>
      <c r="G18" s="348">
        <v>40000</v>
      </c>
      <c r="H18" s="349">
        <v>3692.52</v>
      </c>
      <c r="I18" s="349">
        <f t="shared" si="0"/>
        <v>2480</v>
      </c>
      <c r="J18" s="349">
        <f t="shared" si="1"/>
        <v>580</v>
      </c>
      <c r="K18" s="349">
        <v>2000</v>
      </c>
    </row>
    <row r="19" spans="1:11" x14ac:dyDescent="0.2">
      <c r="A19" s="346" t="s">
        <v>443</v>
      </c>
      <c r="B19" s="346" t="s">
        <v>444</v>
      </c>
      <c r="C19" s="346">
        <v>1</v>
      </c>
      <c r="D19" s="346"/>
      <c r="E19" s="346"/>
      <c r="F19" s="346" t="s">
        <v>283</v>
      </c>
      <c r="G19" s="348">
        <v>10000</v>
      </c>
      <c r="H19" s="349">
        <v>0</v>
      </c>
      <c r="I19" s="349">
        <f t="shared" si="0"/>
        <v>620</v>
      </c>
      <c r="J19" s="349">
        <f t="shared" si="1"/>
        <v>145</v>
      </c>
      <c r="K19" s="349"/>
    </row>
    <row r="20" spans="1:11" x14ac:dyDescent="0.2">
      <c r="A20" s="346" t="s">
        <v>443</v>
      </c>
      <c r="B20" s="346" t="s">
        <v>444</v>
      </c>
      <c r="C20" s="346">
        <v>1</v>
      </c>
      <c r="D20" s="346"/>
      <c r="E20" s="346"/>
      <c r="F20" s="346" t="s">
        <v>283</v>
      </c>
      <c r="G20" s="348">
        <v>10000</v>
      </c>
      <c r="H20" s="349">
        <v>0</v>
      </c>
      <c r="I20" s="349">
        <f t="shared" si="0"/>
        <v>620</v>
      </c>
      <c r="J20" s="349">
        <f t="shared" si="1"/>
        <v>145</v>
      </c>
      <c r="K20" s="349"/>
    </row>
    <row r="21" spans="1:11" x14ac:dyDescent="0.2">
      <c r="A21" s="346" t="s">
        <v>443</v>
      </c>
      <c r="B21" s="346" t="s">
        <v>445</v>
      </c>
      <c r="C21" s="346">
        <v>1</v>
      </c>
      <c r="D21" s="346"/>
      <c r="E21" s="346"/>
      <c r="F21" s="346" t="s">
        <v>283</v>
      </c>
      <c r="G21" s="348">
        <v>35000</v>
      </c>
      <c r="H21" s="349">
        <v>3692.52</v>
      </c>
      <c r="I21" s="349">
        <f t="shared" si="0"/>
        <v>2170</v>
      </c>
      <c r="J21" s="349">
        <f t="shared" si="1"/>
        <v>507.49999999999994</v>
      </c>
      <c r="K21" s="349">
        <v>1750</v>
      </c>
    </row>
    <row r="22" spans="1:11" x14ac:dyDescent="0.2">
      <c r="A22" s="346" t="s">
        <v>443</v>
      </c>
      <c r="B22" s="346" t="s">
        <v>446</v>
      </c>
      <c r="C22" s="346">
        <v>1</v>
      </c>
      <c r="D22" s="346"/>
      <c r="E22" s="346"/>
      <c r="F22" s="346" t="s">
        <v>283</v>
      </c>
      <c r="G22" s="348">
        <v>25000</v>
      </c>
      <c r="H22" s="349">
        <v>3692.52</v>
      </c>
      <c r="I22" s="349">
        <f t="shared" si="0"/>
        <v>1550</v>
      </c>
      <c r="J22" s="349">
        <f t="shared" si="1"/>
        <v>362.5</v>
      </c>
      <c r="K22" s="349">
        <v>1250</v>
      </c>
    </row>
    <row r="23" spans="1:11" x14ac:dyDescent="0.2">
      <c r="A23" s="346" t="s">
        <v>443</v>
      </c>
      <c r="B23" s="346" t="s">
        <v>68</v>
      </c>
      <c r="C23" s="346">
        <v>1</v>
      </c>
      <c r="D23" s="346"/>
      <c r="E23" s="346"/>
      <c r="F23" s="346" t="s">
        <v>283</v>
      </c>
      <c r="G23" s="348">
        <v>35000</v>
      </c>
      <c r="H23" s="349">
        <v>3692.52</v>
      </c>
      <c r="I23" s="349">
        <f t="shared" si="0"/>
        <v>2170</v>
      </c>
      <c r="J23" s="349">
        <f t="shared" si="1"/>
        <v>507.49999999999994</v>
      </c>
      <c r="K23" s="349">
        <v>1750</v>
      </c>
    </row>
    <row r="24" spans="1:11" x14ac:dyDescent="0.2">
      <c r="A24" s="346" t="s">
        <v>443</v>
      </c>
      <c r="B24" s="346" t="s">
        <v>68</v>
      </c>
      <c r="C24" s="346">
        <v>1</v>
      </c>
      <c r="D24" s="346"/>
      <c r="E24" s="346"/>
      <c r="F24" s="346" t="s">
        <v>283</v>
      </c>
      <c r="G24" s="348">
        <v>30000</v>
      </c>
      <c r="H24" s="349">
        <v>0</v>
      </c>
      <c r="I24" s="349">
        <f t="shared" si="0"/>
        <v>1860</v>
      </c>
      <c r="J24" s="349">
        <f t="shared" si="1"/>
        <v>434.99999999999994</v>
      </c>
      <c r="K24" s="349">
        <v>1500</v>
      </c>
    </row>
    <row r="25" spans="1:11" x14ac:dyDescent="0.2">
      <c r="A25" s="346" t="s">
        <v>443</v>
      </c>
      <c r="B25" s="346" t="s">
        <v>447</v>
      </c>
      <c r="C25" s="346">
        <v>1</v>
      </c>
      <c r="D25" s="346"/>
      <c r="E25" s="346"/>
      <c r="F25" s="346" t="s">
        <v>448</v>
      </c>
      <c r="G25" s="348">
        <v>40000</v>
      </c>
      <c r="H25" s="349">
        <v>3692.52</v>
      </c>
      <c r="I25" s="349">
        <f t="shared" si="0"/>
        <v>2480</v>
      </c>
      <c r="J25" s="349">
        <f t="shared" si="1"/>
        <v>580</v>
      </c>
      <c r="K25" s="349">
        <v>2000</v>
      </c>
    </row>
    <row r="26" spans="1:11" x14ac:dyDescent="0.2">
      <c r="A26" s="346" t="s">
        <v>443</v>
      </c>
      <c r="B26" s="346" t="s">
        <v>449</v>
      </c>
      <c r="C26" s="346">
        <v>1</v>
      </c>
      <c r="D26" s="346"/>
      <c r="E26" s="346"/>
      <c r="F26" s="346" t="s">
        <v>448</v>
      </c>
      <c r="G26" s="348">
        <v>50000</v>
      </c>
      <c r="H26" s="349">
        <v>3692.52</v>
      </c>
      <c r="I26" s="349">
        <f t="shared" si="0"/>
        <v>3100</v>
      </c>
      <c r="J26" s="349">
        <f t="shared" si="1"/>
        <v>725</v>
      </c>
      <c r="K26" s="349">
        <v>2500</v>
      </c>
    </row>
    <row r="27" spans="1:11" x14ac:dyDescent="0.2">
      <c r="A27" s="346" t="s">
        <v>443</v>
      </c>
      <c r="B27" s="346" t="s">
        <v>450</v>
      </c>
      <c r="C27" s="346">
        <v>1</v>
      </c>
      <c r="D27" s="346"/>
      <c r="E27" s="346"/>
      <c r="F27" s="346" t="s">
        <v>448</v>
      </c>
      <c r="G27" s="348">
        <v>50000</v>
      </c>
      <c r="H27" s="349">
        <v>3692.52</v>
      </c>
      <c r="I27" s="349">
        <f t="shared" si="0"/>
        <v>3100</v>
      </c>
      <c r="J27" s="349">
        <f t="shared" si="1"/>
        <v>725</v>
      </c>
      <c r="K27" s="349">
        <v>2500</v>
      </c>
    </row>
    <row r="28" spans="1:11" x14ac:dyDescent="0.2">
      <c r="A28" s="346" t="s">
        <v>451</v>
      </c>
      <c r="B28" s="346" t="s">
        <v>452</v>
      </c>
      <c r="C28" s="346">
        <v>1</v>
      </c>
      <c r="D28" s="346">
        <v>1</v>
      </c>
      <c r="E28" s="346"/>
      <c r="F28" s="346" t="s">
        <v>453</v>
      </c>
      <c r="G28" s="348">
        <v>49000</v>
      </c>
      <c r="H28" s="349">
        <v>3692.52</v>
      </c>
      <c r="I28" s="349">
        <f t="shared" si="0"/>
        <v>3038</v>
      </c>
      <c r="J28" s="349">
        <f t="shared" si="1"/>
        <v>710.5</v>
      </c>
      <c r="K28" s="349">
        <v>2450</v>
      </c>
    </row>
    <row r="29" spans="1:11" x14ac:dyDescent="0.2">
      <c r="A29" s="346" t="s">
        <v>451</v>
      </c>
      <c r="B29" s="346" t="s">
        <v>452</v>
      </c>
      <c r="C29" s="346">
        <v>1</v>
      </c>
      <c r="D29" s="346">
        <v>1</v>
      </c>
      <c r="E29" s="346"/>
      <c r="F29" s="346" t="s">
        <v>453</v>
      </c>
      <c r="G29" s="348">
        <v>49000</v>
      </c>
      <c r="H29" s="349">
        <v>3692.52</v>
      </c>
      <c r="I29" s="349">
        <f t="shared" si="0"/>
        <v>3038</v>
      </c>
      <c r="J29" s="349">
        <f t="shared" si="1"/>
        <v>710.5</v>
      </c>
      <c r="K29" s="349">
        <v>2450</v>
      </c>
    </row>
    <row r="30" spans="1:11" x14ac:dyDescent="0.2">
      <c r="A30" s="346" t="s">
        <v>451</v>
      </c>
      <c r="B30" s="346" t="s">
        <v>454</v>
      </c>
      <c r="C30" s="346">
        <v>1</v>
      </c>
      <c r="D30" s="346">
        <v>2</v>
      </c>
      <c r="E30" s="346"/>
      <c r="F30" s="346" t="s">
        <v>453</v>
      </c>
      <c r="G30" s="348">
        <v>49000</v>
      </c>
      <c r="H30" s="349">
        <v>3692.52</v>
      </c>
      <c r="I30" s="349">
        <f t="shared" si="0"/>
        <v>3038</v>
      </c>
      <c r="J30" s="349">
        <f t="shared" si="1"/>
        <v>710.5</v>
      </c>
      <c r="K30" s="349">
        <v>2450</v>
      </c>
    </row>
    <row r="31" spans="1:11" x14ac:dyDescent="0.2">
      <c r="A31" s="346" t="s">
        <v>451</v>
      </c>
      <c r="B31" s="346" t="s">
        <v>454</v>
      </c>
      <c r="C31" s="346">
        <v>1</v>
      </c>
      <c r="D31" s="346">
        <v>2</v>
      </c>
      <c r="E31" s="346"/>
      <c r="F31" s="346" t="s">
        <v>453</v>
      </c>
      <c r="G31" s="348">
        <v>49000</v>
      </c>
      <c r="H31" s="349">
        <v>3692.52</v>
      </c>
      <c r="I31" s="349">
        <f t="shared" si="0"/>
        <v>3038</v>
      </c>
      <c r="J31" s="349">
        <f t="shared" si="1"/>
        <v>710.5</v>
      </c>
      <c r="K31" s="349">
        <v>2450</v>
      </c>
    </row>
    <row r="32" spans="1:11" x14ac:dyDescent="0.2">
      <c r="A32" s="346" t="s">
        <v>451</v>
      </c>
      <c r="B32" s="346" t="s">
        <v>455</v>
      </c>
      <c r="C32" s="346">
        <v>1</v>
      </c>
      <c r="D32" s="346">
        <v>3</v>
      </c>
      <c r="E32" s="346"/>
      <c r="F32" s="346" t="s">
        <v>453</v>
      </c>
      <c r="G32" s="348">
        <v>49000</v>
      </c>
      <c r="H32" s="349">
        <v>3692.52</v>
      </c>
      <c r="I32" s="349">
        <f t="shared" si="0"/>
        <v>3038</v>
      </c>
      <c r="J32" s="349">
        <f t="shared" si="1"/>
        <v>710.5</v>
      </c>
      <c r="K32" s="349">
        <v>2450</v>
      </c>
    </row>
    <row r="33" spans="1:11" x14ac:dyDescent="0.2">
      <c r="A33" s="346" t="s">
        <v>451</v>
      </c>
      <c r="B33" s="346" t="s">
        <v>455</v>
      </c>
      <c r="C33" s="346">
        <v>1</v>
      </c>
      <c r="D33" s="346">
        <v>3</v>
      </c>
      <c r="E33" s="346"/>
      <c r="F33" s="346" t="s">
        <v>453</v>
      </c>
      <c r="G33" s="348">
        <v>49000</v>
      </c>
      <c r="H33" s="349">
        <v>3692.52</v>
      </c>
      <c r="I33" s="349">
        <f t="shared" si="0"/>
        <v>3038</v>
      </c>
      <c r="J33" s="349">
        <f t="shared" si="1"/>
        <v>710.5</v>
      </c>
      <c r="K33" s="349">
        <v>2450</v>
      </c>
    </row>
    <row r="34" spans="1:11" x14ac:dyDescent="0.2">
      <c r="A34" s="346" t="s">
        <v>451</v>
      </c>
      <c r="B34" s="346" t="s">
        <v>456</v>
      </c>
      <c r="C34" s="346">
        <v>1</v>
      </c>
      <c r="D34" s="346">
        <v>4</v>
      </c>
      <c r="E34" s="346" t="s">
        <v>457</v>
      </c>
      <c r="F34" s="346" t="s">
        <v>453</v>
      </c>
      <c r="G34" s="348">
        <v>49000</v>
      </c>
      <c r="H34" s="349">
        <v>3692.52</v>
      </c>
      <c r="I34" s="349">
        <f t="shared" si="0"/>
        <v>3038</v>
      </c>
      <c r="J34" s="349">
        <f t="shared" si="1"/>
        <v>710.5</v>
      </c>
      <c r="K34" s="349">
        <v>2450</v>
      </c>
    </row>
    <row r="35" spans="1:11" x14ac:dyDescent="0.2">
      <c r="A35" s="346" t="s">
        <v>451</v>
      </c>
      <c r="B35" s="346" t="s">
        <v>456</v>
      </c>
      <c r="C35" s="346">
        <v>1</v>
      </c>
      <c r="D35" s="346">
        <v>4</v>
      </c>
      <c r="E35" s="346" t="s">
        <v>458</v>
      </c>
      <c r="F35" s="346" t="s">
        <v>453</v>
      </c>
      <c r="G35" s="348">
        <v>49000</v>
      </c>
      <c r="H35" s="349">
        <v>3692.52</v>
      </c>
      <c r="I35" s="349">
        <f t="shared" ref="I35:I56" si="2">+G35*6.2%</f>
        <v>3038</v>
      </c>
      <c r="J35" s="349">
        <f t="shared" ref="J35:J56" si="3">+G35*1.45%</f>
        <v>710.5</v>
      </c>
      <c r="K35" s="349">
        <v>2450</v>
      </c>
    </row>
    <row r="36" spans="1:11" x14ac:dyDescent="0.2">
      <c r="A36" s="346" t="s">
        <v>451</v>
      </c>
      <c r="B36" s="346" t="s">
        <v>459</v>
      </c>
      <c r="C36" s="346">
        <v>1</v>
      </c>
      <c r="D36" s="346">
        <v>5</v>
      </c>
      <c r="E36" s="346" t="s">
        <v>457</v>
      </c>
      <c r="F36" s="346" t="s">
        <v>453</v>
      </c>
      <c r="G36" s="348">
        <v>49000</v>
      </c>
      <c r="H36" s="349">
        <v>3692.52</v>
      </c>
      <c r="I36" s="349">
        <f t="shared" si="2"/>
        <v>3038</v>
      </c>
      <c r="J36" s="349">
        <f t="shared" si="3"/>
        <v>710.5</v>
      </c>
      <c r="K36" s="349">
        <v>2450</v>
      </c>
    </row>
    <row r="37" spans="1:11" x14ac:dyDescent="0.2">
      <c r="A37" s="346" t="s">
        <v>451</v>
      </c>
      <c r="B37" s="346" t="s">
        <v>459</v>
      </c>
      <c r="C37" s="346">
        <v>1</v>
      </c>
      <c r="D37" s="346">
        <v>5</v>
      </c>
      <c r="E37" s="346" t="s">
        <v>458</v>
      </c>
      <c r="F37" s="346" t="s">
        <v>453</v>
      </c>
      <c r="G37" s="348">
        <v>49000</v>
      </c>
      <c r="H37" s="349">
        <v>3692.52</v>
      </c>
      <c r="I37" s="349">
        <f t="shared" si="2"/>
        <v>3038</v>
      </c>
      <c r="J37" s="349">
        <f t="shared" si="3"/>
        <v>710.5</v>
      </c>
      <c r="K37" s="349">
        <v>2450</v>
      </c>
    </row>
    <row r="38" spans="1:11" x14ac:dyDescent="0.2">
      <c r="A38" s="346" t="s">
        <v>451</v>
      </c>
      <c r="B38" s="346" t="s">
        <v>460</v>
      </c>
      <c r="C38" s="346">
        <v>1</v>
      </c>
      <c r="D38" s="346">
        <v>6</v>
      </c>
      <c r="E38" s="346" t="s">
        <v>457</v>
      </c>
      <c r="F38" s="346" t="s">
        <v>453</v>
      </c>
      <c r="G38" s="348">
        <v>49000</v>
      </c>
      <c r="H38" s="349">
        <v>3692.52</v>
      </c>
      <c r="I38" s="349">
        <f t="shared" si="2"/>
        <v>3038</v>
      </c>
      <c r="J38" s="349">
        <f t="shared" si="3"/>
        <v>710.5</v>
      </c>
      <c r="K38" s="349">
        <v>2450</v>
      </c>
    </row>
    <row r="39" spans="1:11" x14ac:dyDescent="0.2">
      <c r="A39" s="346" t="s">
        <v>451</v>
      </c>
      <c r="B39" s="346" t="s">
        <v>460</v>
      </c>
      <c r="C39" s="346">
        <v>1</v>
      </c>
      <c r="D39" s="346">
        <v>6</v>
      </c>
      <c r="E39" s="346" t="s">
        <v>458</v>
      </c>
      <c r="F39" s="346" t="s">
        <v>453</v>
      </c>
      <c r="G39" s="348">
        <v>49000</v>
      </c>
      <c r="H39" s="349">
        <v>3692.52</v>
      </c>
      <c r="I39" s="349">
        <f t="shared" si="2"/>
        <v>3038</v>
      </c>
      <c r="J39" s="349">
        <f t="shared" si="3"/>
        <v>710.5</v>
      </c>
      <c r="K39" s="349">
        <v>2450</v>
      </c>
    </row>
    <row r="40" spans="1:11" x14ac:dyDescent="0.2">
      <c r="A40" s="346" t="s">
        <v>451</v>
      </c>
      <c r="B40" s="346" t="s">
        <v>461</v>
      </c>
      <c r="C40" s="346">
        <v>1</v>
      </c>
      <c r="D40" s="346">
        <v>7</v>
      </c>
      <c r="E40" s="346" t="s">
        <v>457</v>
      </c>
      <c r="F40" s="346" t="s">
        <v>453</v>
      </c>
      <c r="G40" s="348">
        <v>49000</v>
      </c>
      <c r="H40" s="349">
        <v>3692.52</v>
      </c>
      <c r="I40" s="349">
        <f t="shared" si="2"/>
        <v>3038</v>
      </c>
      <c r="J40" s="349">
        <f t="shared" si="3"/>
        <v>710.5</v>
      </c>
      <c r="K40" s="349">
        <v>2450</v>
      </c>
    </row>
    <row r="41" spans="1:11" x14ac:dyDescent="0.2">
      <c r="A41" s="346" t="s">
        <v>451</v>
      </c>
      <c r="B41" s="346" t="s">
        <v>461</v>
      </c>
      <c r="C41" s="346">
        <v>1</v>
      </c>
      <c r="D41" s="346">
        <v>7</v>
      </c>
      <c r="E41" s="346" t="s">
        <v>458</v>
      </c>
      <c r="F41" s="346" t="s">
        <v>453</v>
      </c>
      <c r="G41" s="348">
        <v>49000</v>
      </c>
      <c r="H41" s="349">
        <v>3692.52</v>
      </c>
      <c r="I41" s="349">
        <f t="shared" si="2"/>
        <v>3038</v>
      </c>
      <c r="J41" s="349">
        <f t="shared" si="3"/>
        <v>710.5</v>
      </c>
      <c r="K41" s="349">
        <v>2450</v>
      </c>
    </row>
    <row r="42" spans="1:11" x14ac:dyDescent="0.2">
      <c r="A42" s="346" t="s">
        <v>451</v>
      </c>
      <c r="B42" s="346" t="s">
        <v>461</v>
      </c>
      <c r="C42" s="346">
        <v>1</v>
      </c>
      <c r="D42" s="346">
        <v>8</v>
      </c>
      <c r="E42" s="346" t="s">
        <v>457</v>
      </c>
      <c r="F42" s="346" t="s">
        <v>453</v>
      </c>
      <c r="G42" s="348">
        <v>49000</v>
      </c>
      <c r="H42" s="349">
        <v>3692.52</v>
      </c>
      <c r="I42" s="349">
        <f t="shared" si="2"/>
        <v>3038</v>
      </c>
      <c r="J42" s="349">
        <f t="shared" si="3"/>
        <v>710.5</v>
      </c>
      <c r="K42" s="349">
        <v>2450</v>
      </c>
    </row>
    <row r="43" spans="1:11" x14ac:dyDescent="0.2">
      <c r="A43" s="346" t="s">
        <v>451</v>
      </c>
      <c r="B43" s="346" t="s">
        <v>461</v>
      </c>
      <c r="C43" s="346">
        <v>1</v>
      </c>
      <c r="D43" s="346">
        <v>8</v>
      </c>
      <c r="E43" s="346" t="s">
        <v>458</v>
      </c>
      <c r="F43" s="346" t="s">
        <v>453</v>
      </c>
      <c r="G43" s="348">
        <v>49000</v>
      </c>
      <c r="H43" s="349">
        <v>3692.52</v>
      </c>
      <c r="I43" s="349">
        <f t="shared" si="2"/>
        <v>3038</v>
      </c>
      <c r="J43" s="349">
        <f t="shared" si="3"/>
        <v>710.5</v>
      </c>
      <c r="K43" s="349">
        <v>2450</v>
      </c>
    </row>
    <row r="44" spans="1:11" x14ac:dyDescent="0.2">
      <c r="A44" s="346" t="s">
        <v>451</v>
      </c>
      <c r="B44" s="346" t="s">
        <v>462</v>
      </c>
      <c r="C44" s="346">
        <v>1</v>
      </c>
      <c r="D44" s="346" t="s">
        <v>431</v>
      </c>
      <c r="E44" s="346" t="s">
        <v>157</v>
      </c>
      <c r="F44" s="346" t="s">
        <v>453</v>
      </c>
      <c r="G44" s="348">
        <v>49000</v>
      </c>
      <c r="H44" s="349">
        <v>3692.52</v>
      </c>
      <c r="I44" s="349">
        <f t="shared" si="2"/>
        <v>3038</v>
      </c>
      <c r="J44" s="349">
        <f t="shared" si="3"/>
        <v>710.5</v>
      </c>
      <c r="K44" s="349">
        <v>2450</v>
      </c>
    </row>
    <row r="45" spans="1:11" x14ac:dyDescent="0.2">
      <c r="A45" s="346" t="s">
        <v>451</v>
      </c>
      <c r="B45" s="346" t="s">
        <v>462</v>
      </c>
      <c r="C45" s="346">
        <v>1</v>
      </c>
      <c r="D45" s="346" t="s">
        <v>433</v>
      </c>
      <c r="E45" s="346"/>
      <c r="F45" s="346" t="s">
        <v>453</v>
      </c>
      <c r="G45" s="348">
        <v>49000</v>
      </c>
      <c r="H45" s="349">
        <v>3692.52</v>
      </c>
      <c r="I45" s="349">
        <f t="shared" si="2"/>
        <v>3038</v>
      </c>
      <c r="J45" s="349">
        <f t="shared" si="3"/>
        <v>710.5</v>
      </c>
      <c r="K45" s="349">
        <v>2450</v>
      </c>
    </row>
    <row r="46" spans="1:11" x14ac:dyDescent="0.2">
      <c r="A46" s="346" t="s">
        <v>451</v>
      </c>
      <c r="B46" s="346" t="s">
        <v>462</v>
      </c>
      <c r="C46" s="346">
        <v>1</v>
      </c>
      <c r="D46" s="346" t="s">
        <v>434</v>
      </c>
      <c r="E46" s="346"/>
      <c r="F46" s="346" t="s">
        <v>453</v>
      </c>
      <c r="G46" s="348">
        <v>49000</v>
      </c>
      <c r="H46" s="349">
        <v>3692.52</v>
      </c>
      <c r="I46" s="349">
        <f t="shared" si="2"/>
        <v>3038</v>
      </c>
      <c r="J46" s="349">
        <f t="shared" si="3"/>
        <v>710.5</v>
      </c>
      <c r="K46" s="349">
        <v>2450</v>
      </c>
    </row>
    <row r="47" spans="1:11" x14ac:dyDescent="0.2">
      <c r="A47" s="346" t="s">
        <v>451</v>
      </c>
      <c r="B47" s="346" t="s">
        <v>462</v>
      </c>
      <c r="C47" s="346">
        <v>1</v>
      </c>
      <c r="D47" s="346" t="s">
        <v>435</v>
      </c>
      <c r="E47" s="346"/>
      <c r="F47" s="346" t="s">
        <v>453</v>
      </c>
      <c r="G47" s="348">
        <v>49000</v>
      </c>
      <c r="H47" s="349">
        <v>3692.52</v>
      </c>
      <c r="I47" s="349">
        <f t="shared" si="2"/>
        <v>3038</v>
      </c>
      <c r="J47" s="349">
        <f t="shared" si="3"/>
        <v>710.5</v>
      </c>
      <c r="K47" s="349">
        <v>2450</v>
      </c>
    </row>
    <row r="48" spans="1:11" x14ac:dyDescent="0.2">
      <c r="A48" s="346" t="s">
        <v>451</v>
      </c>
      <c r="B48" s="346" t="s">
        <v>463</v>
      </c>
      <c r="C48" s="346">
        <v>1</v>
      </c>
      <c r="D48" s="346" t="s">
        <v>464</v>
      </c>
      <c r="E48" s="346"/>
      <c r="F48" s="346" t="s">
        <v>453</v>
      </c>
      <c r="G48" s="348">
        <v>49000</v>
      </c>
      <c r="H48" s="349">
        <v>3692.52</v>
      </c>
      <c r="I48" s="349">
        <f t="shared" si="2"/>
        <v>3038</v>
      </c>
      <c r="J48" s="349">
        <f t="shared" si="3"/>
        <v>710.5</v>
      </c>
      <c r="K48" s="349">
        <v>2450</v>
      </c>
    </row>
    <row r="49" spans="1:11" x14ac:dyDescent="0.2">
      <c r="A49" s="346" t="s">
        <v>451</v>
      </c>
      <c r="B49" s="346" t="s">
        <v>463</v>
      </c>
      <c r="C49" s="346">
        <v>1</v>
      </c>
      <c r="D49" s="346" t="s">
        <v>464</v>
      </c>
      <c r="E49" s="346"/>
      <c r="F49" s="346" t="s">
        <v>453</v>
      </c>
      <c r="G49" s="348">
        <v>49000</v>
      </c>
      <c r="H49" s="349">
        <v>3692.52</v>
      </c>
      <c r="I49" s="349">
        <f t="shared" si="2"/>
        <v>3038</v>
      </c>
      <c r="J49" s="349">
        <f t="shared" si="3"/>
        <v>710.5</v>
      </c>
      <c r="K49" s="349">
        <v>2450</v>
      </c>
    </row>
    <row r="50" spans="1:11" x14ac:dyDescent="0.2">
      <c r="A50" s="346" t="s">
        <v>451</v>
      </c>
      <c r="B50" s="346" t="s">
        <v>465</v>
      </c>
      <c r="C50" s="346">
        <v>1</v>
      </c>
      <c r="D50" s="346" t="s">
        <v>431</v>
      </c>
      <c r="E50" s="346" t="s">
        <v>157</v>
      </c>
      <c r="F50" s="346" t="s">
        <v>453</v>
      </c>
      <c r="G50" s="348">
        <v>30000</v>
      </c>
      <c r="H50" s="349">
        <v>3692.52</v>
      </c>
      <c r="I50" s="349">
        <f t="shared" si="2"/>
        <v>1860</v>
      </c>
      <c r="J50" s="349">
        <f t="shared" si="3"/>
        <v>434.99999999999994</v>
      </c>
      <c r="K50" s="349">
        <v>1500</v>
      </c>
    </row>
    <row r="51" spans="1:11" x14ac:dyDescent="0.2">
      <c r="A51" s="346" t="s">
        <v>451</v>
      </c>
      <c r="B51" s="346" t="s">
        <v>465</v>
      </c>
      <c r="C51" s="346">
        <v>1</v>
      </c>
      <c r="D51" s="346" t="s">
        <v>433</v>
      </c>
      <c r="E51" s="346"/>
      <c r="F51" s="346" t="s">
        <v>453</v>
      </c>
      <c r="G51" s="348">
        <v>30000</v>
      </c>
      <c r="H51" s="349">
        <v>3692.52</v>
      </c>
      <c r="I51" s="349">
        <f t="shared" si="2"/>
        <v>1860</v>
      </c>
      <c r="J51" s="349">
        <f t="shared" si="3"/>
        <v>434.99999999999994</v>
      </c>
      <c r="K51" s="349">
        <v>1500</v>
      </c>
    </row>
    <row r="52" spans="1:11" x14ac:dyDescent="0.2">
      <c r="A52" s="346" t="s">
        <v>451</v>
      </c>
      <c r="B52" s="346" t="s">
        <v>465</v>
      </c>
      <c r="C52" s="346">
        <v>1</v>
      </c>
      <c r="D52" s="346" t="s">
        <v>434</v>
      </c>
      <c r="E52" s="346"/>
      <c r="F52" s="346" t="s">
        <v>453</v>
      </c>
      <c r="G52" s="348">
        <v>30000</v>
      </c>
      <c r="H52" s="349">
        <v>3692.52</v>
      </c>
      <c r="I52" s="349">
        <f t="shared" si="2"/>
        <v>1860</v>
      </c>
      <c r="J52" s="349">
        <f t="shared" si="3"/>
        <v>434.99999999999994</v>
      </c>
      <c r="K52" s="349">
        <v>1500</v>
      </c>
    </row>
    <row r="53" spans="1:11" x14ac:dyDescent="0.2">
      <c r="A53" s="346" t="s">
        <v>451</v>
      </c>
      <c r="B53" s="346" t="s">
        <v>465</v>
      </c>
      <c r="C53" s="346">
        <v>1</v>
      </c>
      <c r="D53" s="346" t="s">
        <v>435</v>
      </c>
      <c r="E53" s="346"/>
      <c r="F53" s="346" t="s">
        <v>453</v>
      </c>
      <c r="G53" s="348">
        <v>30000</v>
      </c>
      <c r="H53" s="349">
        <v>3692.52</v>
      </c>
      <c r="I53" s="349">
        <f t="shared" si="2"/>
        <v>1860</v>
      </c>
      <c r="J53" s="349">
        <f t="shared" si="3"/>
        <v>434.99999999999994</v>
      </c>
      <c r="K53" s="349">
        <v>1500</v>
      </c>
    </row>
    <row r="54" spans="1:11" x14ac:dyDescent="0.2">
      <c r="A54" s="346" t="s">
        <v>451</v>
      </c>
      <c r="B54" s="346" t="s">
        <v>466</v>
      </c>
      <c r="C54" s="346">
        <v>1</v>
      </c>
      <c r="D54" s="346" t="s">
        <v>157</v>
      </c>
      <c r="E54" s="346"/>
      <c r="F54" s="346" t="s">
        <v>453</v>
      </c>
      <c r="G54" s="348">
        <v>49000</v>
      </c>
      <c r="H54" s="349">
        <v>3692.52</v>
      </c>
      <c r="I54" s="349">
        <f t="shared" si="2"/>
        <v>3038</v>
      </c>
      <c r="J54" s="349">
        <f t="shared" si="3"/>
        <v>710.5</v>
      </c>
      <c r="K54" s="349">
        <v>2450</v>
      </c>
    </row>
    <row r="55" spans="1:11" x14ac:dyDescent="0.2">
      <c r="A55" s="346" t="s">
        <v>451</v>
      </c>
      <c r="B55" s="346" t="s">
        <v>466</v>
      </c>
      <c r="C55" s="346">
        <v>1</v>
      </c>
      <c r="D55" s="346"/>
      <c r="E55" s="346"/>
      <c r="F55" s="346" t="s">
        <v>453</v>
      </c>
      <c r="G55" s="348">
        <v>49000</v>
      </c>
      <c r="H55" s="349">
        <v>3692.52</v>
      </c>
      <c r="I55" s="349">
        <f t="shared" si="2"/>
        <v>3038</v>
      </c>
      <c r="J55" s="349">
        <f t="shared" si="3"/>
        <v>710.5</v>
      </c>
      <c r="K55" s="349">
        <v>2450</v>
      </c>
    </row>
    <row r="56" spans="1:11" ht="12" customHeight="1" x14ac:dyDescent="0.2">
      <c r="A56" s="346" t="s">
        <v>451</v>
      </c>
      <c r="B56" s="346" t="s">
        <v>466</v>
      </c>
      <c r="C56" s="346">
        <v>1</v>
      </c>
      <c r="D56" s="346"/>
      <c r="E56" s="346"/>
      <c r="F56" s="346" t="s">
        <v>453</v>
      </c>
      <c r="G56" s="348">
        <v>49000</v>
      </c>
      <c r="H56" s="349">
        <v>3692.52</v>
      </c>
      <c r="I56" s="349">
        <f t="shared" si="2"/>
        <v>3038</v>
      </c>
      <c r="J56" s="349">
        <f t="shared" si="3"/>
        <v>710.5</v>
      </c>
      <c r="K56" s="349">
        <v>2450</v>
      </c>
    </row>
    <row r="57" spans="1:11" s="352" customFormat="1" x14ac:dyDescent="0.2">
      <c r="A57" s="350"/>
      <c r="B57" s="353" t="s">
        <v>417</v>
      </c>
      <c r="C57" s="354">
        <f>SUBTOTAL(9,C3:C56)</f>
        <v>54</v>
      </c>
      <c r="D57" s="353"/>
      <c r="E57" s="353"/>
      <c r="F57" s="353"/>
      <c r="G57" s="351">
        <f>SUBTOTAL(9,G3:G56)</f>
        <v>2434700</v>
      </c>
      <c r="H57" s="351">
        <f t="shared" ref="H57:K57" si="4">SUBTOTAL(9,H3:H56)</f>
        <v>188318.51999999987</v>
      </c>
      <c r="I57" s="351">
        <f t="shared" si="4"/>
        <v>150951.4</v>
      </c>
      <c r="J57" s="351">
        <f t="shared" si="4"/>
        <v>35303.15</v>
      </c>
      <c r="K57" s="351">
        <f t="shared" si="4"/>
        <v>120735</v>
      </c>
    </row>
  </sheetData>
  <autoFilter ref="A2:K56">
    <sortState ref="A3:K56">
      <sortCondition ref="F2:F56"/>
    </sortState>
  </autoFilter>
  <mergeCells count="1">
    <mergeCell ref="A1:K1"/>
  </mergeCells>
  <pageMargins left="0.7" right="0.7" top="0.75" bottom="0.75" header="0.3" footer="0.3"/>
  <pageSetup scale="5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9"/>
  <sheetViews>
    <sheetView topLeftCell="A17" zoomScaleNormal="100" workbookViewId="0">
      <selection activeCell="J17" sqref="J17"/>
    </sheetView>
  </sheetViews>
  <sheetFormatPr defaultRowHeight="12.75" x14ac:dyDescent="0.2"/>
  <cols>
    <col min="1" max="1" width="2.85546875" style="192" customWidth="1"/>
    <col min="2" max="2" width="36.140625" style="192" bestFit="1" customWidth="1"/>
    <col min="3" max="3" width="13.28515625" style="192" bestFit="1" customWidth="1"/>
    <col min="4" max="4" width="11.5703125" style="192" bestFit="1" customWidth="1"/>
    <col min="5" max="5" width="15" style="192" bestFit="1" customWidth="1"/>
    <col min="6" max="8" width="11.5703125" style="192" bestFit="1" customWidth="1"/>
    <col min="9" max="16384" width="9.140625" style="192"/>
  </cols>
  <sheetData>
    <row r="1" spans="2:8" ht="29.25" customHeight="1" x14ac:dyDescent="0.2">
      <c r="B1" s="634" t="s">
        <v>467</v>
      </c>
      <c r="C1" s="635"/>
      <c r="D1" s="635"/>
      <c r="E1" s="635"/>
      <c r="F1" s="635"/>
      <c r="G1" s="635"/>
      <c r="H1" s="636"/>
    </row>
    <row r="2" spans="2:8" x14ac:dyDescent="0.2">
      <c r="B2" s="503"/>
      <c r="C2" s="504"/>
      <c r="D2" s="505"/>
      <c r="E2" s="505"/>
      <c r="F2" s="505"/>
      <c r="G2" s="505"/>
      <c r="H2" s="506"/>
    </row>
    <row r="3" spans="2:8" x14ac:dyDescent="0.2">
      <c r="B3" s="507"/>
      <c r="C3" s="508"/>
      <c r="D3" s="509" t="s">
        <v>384</v>
      </c>
      <c r="E3" s="510" t="s">
        <v>385</v>
      </c>
      <c r="F3" s="509" t="s">
        <v>386</v>
      </c>
      <c r="G3" s="510" t="s">
        <v>387</v>
      </c>
      <c r="H3" s="511" t="s">
        <v>388</v>
      </c>
    </row>
    <row r="4" spans="2:8" ht="38.25" x14ac:dyDescent="0.2">
      <c r="B4" s="512" t="s">
        <v>468</v>
      </c>
      <c r="C4" s="513" t="s">
        <v>469</v>
      </c>
      <c r="D4" s="514" t="s">
        <v>470</v>
      </c>
      <c r="E4" s="514" t="s">
        <v>471</v>
      </c>
      <c r="F4" s="514" t="s">
        <v>472</v>
      </c>
      <c r="G4" s="514" t="s">
        <v>473</v>
      </c>
      <c r="H4" s="515" t="s">
        <v>474</v>
      </c>
    </row>
    <row r="5" spans="2:8" x14ac:dyDescent="0.2">
      <c r="B5" s="516" t="s">
        <v>475</v>
      </c>
      <c r="C5" s="364">
        <v>886.11141647227817</v>
      </c>
      <c r="D5" s="517">
        <f>+C5*425</f>
        <v>376597.35200071824</v>
      </c>
      <c r="E5" s="517">
        <f>+C5*450</f>
        <v>398750.13741252519</v>
      </c>
      <c r="F5" s="517">
        <f>+C5*475</f>
        <v>420902.92282433214</v>
      </c>
      <c r="G5" s="517">
        <f>+C5*500</f>
        <v>443055.70823613909</v>
      </c>
      <c r="H5" s="518">
        <f>+C5*525</f>
        <v>465208.49364794604</v>
      </c>
    </row>
    <row r="6" spans="2:8" x14ac:dyDescent="0.2">
      <c r="B6" s="516" t="s">
        <v>476</v>
      </c>
      <c r="C6" s="364">
        <v>212.16620879120879</v>
      </c>
      <c r="D6" s="517">
        <f t="shared" ref="D6:D11" si="0">+C6*425</f>
        <v>90170.638736263732</v>
      </c>
      <c r="E6" s="517">
        <f t="shared" ref="E6:E11" si="1">+C6*450</f>
        <v>95474.793956043955</v>
      </c>
      <c r="F6" s="517">
        <f t="shared" ref="F6:F11" si="2">+C6*475</f>
        <v>100778.94917582418</v>
      </c>
      <c r="G6" s="517">
        <f t="shared" ref="G6:G11" si="3">+C6*500</f>
        <v>106083.1043956044</v>
      </c>
      <c r="H6" s="518">
        <f t="shared" ref="H6:H11" si="4">+C6*525</f>
        <v>111387.25961538461</v>
      </c>
    </row>
    <row r="7" spans="2:8" x14ac:dyDescent="0.2">
      <c r="B7" s="516" t="s">
        <v>477</v>
      </c>
      <c r="C7" s="364">
        <v>738.95004464285728</v>
      </c>
      <c r="D7" s="517">
        <f t="shared" si="0"/>
        <v>314053.76897321432</v>
      </c>
      <c r="E7" s="517">
        <f t="shared" si="1"/>
        <v>332527.5200892858</v>
      </c>
      <c r="F7" s="517">
        <f t="shared" si="2"/>
        <v>351001.27120535722</v>
      </c>
      <c r="G7" s="517">
        <f t="shared" si="3"/>
        <v>369475.02232142864</v>
      </c>
      <c r="H7" s="518">
        <f t="shared" si="4"/>
        <v>387948.77343750006</v>
      </c>
    </row>
    <row r="8" spans="2:8" x14ac:dyDescent="0.2">
      <c r="B8" s="516" t="s">
        <v>478</v>
      </c>
      <c r="C8" s="364">
        <v>1.3344780219780219</v>
      </c>
      <c r="D8" s="517">
        <f t="shared" si="0"/>
        <v>567.15315934065927</v>
      </c>
      <c r="E8" s="517">
        <f t="shared" si="1"/>
        <v>600.5151098901099</v>
      </c>
      <c r="F8" s="517">
        <f t="shared" si="2"/>
        <v>633.87706043956041</v>
      </c>
      <c r="G8" s="517">
        <f t="shared" si="3"/>
        <v>667.23901098901092</v>
      </c>
      <c r="H8" s="518">
        <f t="shared" si="4"/>
        <v>700.60096153846155</v>
      </c>
    </row>
    <row r="9" spans="2:8" x14ac:dyDescent="0.2">
      <c r="B9" s="516" t="s">
        <v>479</v>
      </c>
      <c r="C9" s="364">
        <v>46.148138736263739</v>
      </c>
      <c r="D9" s="517">
        <f t="shared" si="0"/>
        <v>19612.958962912089</v>
      </c>
      <c r="E9" s="517">
        <f t="shared" si="1"/>
        <v>20766.662431318684</v>
      </c>
      <c r="F9" s="517">
        <f t="shared" si="2"/>
        <v>21920.365899725275</v>
      </c>
      <c r="G9" s="517">
        <f t="shared" si="3"/>
        <v>23074.06936813187</v>
      </c>
      <c r="H9" s="518">
        <f t="shared" si="4"/>
        <v>24227.772836538465</v>
      </c>
    </row>
    <row r="10" spans="2:8" x14ac:dyDescent="0.2">
      <c r="B10" s="516" t="s">
        <v>480</v>
      </c>
      <c r="C10" s="364">
        <v>14.339285714285714</v>
      </c>
      <c r="D10" s="517">
        <f t="shared" si="0"/>
        <v>6094.1964285714284</v>
      </c>
      <c r="E10" s="517">
        <f t="shared" si="1"/>
        <v>6452.6785714285706</v>
      </c>
      <c r="F10" s="517">
        <f t="shared" si="2"/>
        <v>6811.1607142857138</v>
      </c>
      <c r="G10" s="517">
        <f t="shared" si="3"/>
        <v>7169.6428571428569</v>
      </c>
      <c r="H10" s="518">
        <f t="shared" si="4"/>
        <v>7528.125</v>
      </c>
    </row>
    <row r="11" spans="2:8" ht="13.5" thickBot="1" x14ac:dyDescent="0.25">
      <c r="B11" s="519" t="s">
        <v>481</v>
      </c>
      <c r="C11" s="520">
        <v>79.596593406593399</v>
      </c>
      <c r="D11" s="521">
        <f t="shared" si="0"/>
        <v>33828.552197802193</v>
      </c>
      <c r="E11" s="521">
        <f t="shared" si="1"/>
        <v>35818.467032967026</v>
      </c>
      <c r="F11" s="521">
        <f t="shared" si="2"/>
        <v>37808.381868131866</v>
      </c>
      <c r="G11" s="521">
        <f t="shared" si="3"/>
        <v>39798.296703296699</v>
      </c>
      <c r="H11" s="522">
        <f t="shared" si="4"/>
        <v>41788.211538461532</v>
      </c>
    </row>
    <row r="12" spans="2:8" ht="13.5" thickBot="1" x14ac:dyDescent="0.25">
      <c r="C12" s="523"/>
    </row>
    <row r="13" spans="2:8" ht="30" customHeight="1" x14ac:dyDescent="0.2">
      <c r="B13" s="637" t="s">
        <v>482</v>
      </c>
      <c r="C13" s="635"/>
      <c r="D13" s="635"/>
      <c r="E13" s="635"/>
      <c r="F13" s="635"/>
      <c r="G13" s="635"/>
      <c r="H13" s="636"/>
    </row>
    <row r="14" spans="2:8" x14ac:dyDescent="0.2">
      <c r="B14" s="503"/>
      <c r="C14" s="504"/>
      <c r="D14" s="505"/>
      <c r="E14" s="505"/>
      <c r="F14" s="505"/>
      <c r="G14" s="505"/>
      <c r="H14" s="506"/>
    </row>
    <row r="15" spans="2:8" ht="13.5" thickBot="1" x14ac:dyDescent="0.25">
      <c r="B15" s="507"/>
      <c r="C15" s="508"/>
      <c r="D15" s="509" t="s">
        <v>384</v>
      </c>
      <c r="E15" s="510" t="s">
        <v>385</v>
      </c>
      <c r="F15" s="509" t="s">
        <v>386</v>
      </c>
      <c r="G15" s="510" t="s">
        <v>387</v>
      </c>
      <c r="H15" s="511" t="s">
        <v>388</v>
      </c>
    </row>
    <row r="16" spans="2:8" ht="38.25" x14ac:dyDescent="0.2">
      <c r="B16" s="547" t="s">
        <v>483</v>
      </c>
      <c r="C16" s="544" t="s">
        <v>469</v>
      </c>
      <c r="D16" s="545" t="s">
        <v>470</v>
      </c>
      <c r="E16" s="545" t="s">
        <v>471</v>
      </c>
      <c r="F16" s="545" t="s">
        <v>472</v>
      </c>
      <c r="G16" s="545" t="s">
        <v>473</v>
      </c>
      <c r="H16" s="546" t="s">
        <v>474</v>
      </c>
    </row>
    <row r="17" spans="2:8" x14ac:dyDescent="0.2">
      <c r="B17" s="525" t="s">
        <v>484</v>
      </c>
      <c r="C17" s="364">
        <v>46.415322802197807</v>
      </c>
      <c r="D17" s="517">
        <f>+C17*425</f>
        <v>19726.512190934067</v>
      </c>
      <c r="E17" s="517">
        <f>+C17*450</f>
        <v>20886.895260989011</v>
      </c>
      <c r="F17" s="517">
        <f>+C17*475</f>
        <v>22047.278331043959</v>
      </c>
      <c r="G17" s="517">
        <f>+C17*500</f>
        <v>23207.661401098903</v>
      </c>
      <c r="H17" s="518">
        <f>+C17*525</f>
        <v>24368.044471153848</v>
      </c>
    </row>
    <row r="18" spans="2:8" x14ac:dyDescent="0.2">
      <c r="B18" s="525" t="s">
        <v>485</v>
      </c>
      <c r="C18" s="364">
        <v>28.453221153846155</v>
      </c>
      <c r="D18" s="517">
        <f t="shared" ref="D18:D29" si="5">+C18*425</f>
        <v>12092.618990384615</v>
      </c>
      <c r="E18" s="517">
        <f t="shared" ref="E18:E29" si="6">+C18*450</f>
        <v>12803.94951923077</v>
      </c>
      <c r="F18" s="517">
        <f t="shared" ref="F18:F29" si="7">+C18*475</f>
        <v>13515.280048076924</v>
      </c>
      <c r="G18" s="517">
        <f t="shared" ref="G18:G29" si="8">+C18*500</f>
        <v>14226.610576923078</v>
      </c>
      <c r="H18" s="518">
        <f t="shared" ref="H18:H29" si="9">+C18*525</f>
        <v>14937.94110576923</v>
      </c>
    </row>
    <row r="19" spans="2:8" x14ac:dyDescent="0.2">
      <c r="B19" s="525" t="s">
        <v>486</v>
      </c>
      <c r="C19" s="364">
        <v>10.974306318681318</v>
      </c>
      <c r="D19" s="517">
        <f t="shared" si="5"/>
        <v>4664.0801854395604</v>
      </c>
      <c r="E19" s="517">
        <f t="shared" si="6"/>
        <v>4938.4378434065929</v>
      </c>
      <c r="F19" s="517">
        <f t="shared" si="7"/>
        <v>5212.7955013736264</v>
      </c>
      <c r="G19" s="517">
        <f t="shared" si="8"/>
        <v>5487.1531593406589</v>
      </c>
      <c r="H19" s="518">
        <f t="shared" si="9"/>
        <v>5761.5108173076924</v>
      </c>
    </row>
    <row r="20" spans="2:8" x14ac:dyDescent="0.2">
      <c r="B20" s="525" t="s">
        <v>487</v>
      </c>
      <c r="C20" s="364">
        <v>2.1469917582417581</v>
      </c>
      <c r="D20" s="517">
        <f t="shared" si="5"/>
        <v>912.47149725274721</v>
      </c>
      <c r="E20" s="517">
        <f t="shared" si="6"/>
        <v>966.14629120879113</v>
      </c>
      <c r="F20" s="517">
        <f t="shared" si="7"/>
        <v>1019.8210851648352</v>
      </c>
      <c r="G20" s="517">
        <f t="shared" si="8"/>
        <v>1073.4958791208792</v>
      </c>
      <c r="H20" s="518">
        <f t="shared" si="9"/>
        <v>1127.1706730769231</v>
      </c>
    </row>
    <row r="21" spans="2:8" x14ac:dyDescent="0.2">
      <c r="B21" s="525" t="s">
        <v>488</v>
      </c>
      <c r="C21" s="364">
        <v>16.052397802197802</v>
      </c>
      <c r="D21" s="517">
        <f t="shared" si="5"/>
        <v>6822.269065934066</v>
      </c>
      <c r="E21" s="517">
        <f t="shared" si="6"/>
        <v>7223.5790109890113</v>
      </c>
      <c r="F21" s="517">
        <f t="shared" si="7"/>
        <v>7624.8889560439566</v>
      </c>
      <c r="G21" s="517">
        <f t="shared" si="8"/>
        <v>8026.1989010989009</v>
      </c>
      <c r="H21" s="518">
        <f t="shared" si="9"/>
        <v>8427.5088461538471</v>
      </c>
    </row>
    <row r="22" spans="2:8" x14ac:dyDescent="0.2">
      <c r="B22" s="525" t="s">
        <v>489</v>
      </c>
      <c r="C22" s="364">
        <v>31.148543956043955</v>
      </c>
      <c r="D22" s="517">
        <f t="shared" si="5"/>
        <v>13238.13118131868</v>
      </c>
      <c r="E22" s="517">
        <f t="shared" si="6"/>
        <v>14016.844780219781</v>
      </c>
      <c r="F22" s="517">
        <f t="shared" si="7"/>
        <v>14795.558379120879</v>
      </c>
      <c r="G22" s="517">
        <f t="shared" si="8"/>
        <v>15574.271978021978</v>
      </c>
      <c r="H22" s="518">
        <f t="shared" si="9"/>
        <v>16352.985576923076</v>
      </c>
    </row>
    <row r="23" spans="2:8" x14ac:dyDescent="0.2">
      <c r="B23" s="525" t="s">
        <v>490</v>
      </c>
      <c r="C23" s="364">
        <v>54.713976648351654</v>
      </c>
      <c r="D23" s="517">
        <f t="shared" si="5"/>
        <v>23253.440075549453</v>
      </c>
      <c r="E23" s="517">
        <f t="shared" si="6"/>
        <v>24621.289491758245</v>
      </c>
      <c r="F23" s="517">
        <f t="shared" si="7"/>
        <v>25989.138907967037</v>
      </c>
      <c r="G23" s="517">
        <f t="shared" si="8"/>
        <v>27356.988324175825</v>
      </c>
      <c r="H23" s="518">
        <f t="shared" si="9"/>
        <v>28724.837740384617</v>
      </c>
    </row>
    <row r="24" spans="2:8" x14ac:dyDescent="0.2">
      <c r="B24" s="525" t="s">
        <v>491</v>
      </c>
      <c r="C24" s="349">
        <v>174.28115384615387</v>
      </c>
      <c r="D24" s="451">
        <f t="shared" si="5"/>
        <v>74069.49038461539</v>
      </c>
      <c r="E24" s="451">
        <f t="shared" si="6"/>
        <v>78426.519230769249</v>
      </c>
      <c r="F24" s="451">
        <f t="shared" si="7"/>
        <v>82783.548076923093</v>
      </c>
      <c r="G24" s="451">
        <f t="shared" si="8"/>
        <v>87140.576923076937</v>
      </c>
      <c r="H24" s="526">
        <f t="shared" si="9"/>
        <v>91497.60576923078</v>
      </c>
    </row>
    <row r="25" spans="2:8" x14ac:dyDescent="0.2">
      <c r="B25" s="525" t="s">
        <v>492</v>
      </c>
      <c r="C25" s="349">
        <v>49.658653846153847</v>
      </c>
      <c r="D25" s="451">
        <f t="shared" si="5"/>
        <v>21104.927884615387</v>
      </c>
      <c r="E25" s="451">
        <f t="shared" si="6"/>
        <v>22346.39423076923</v>
      </c>
      <c r="F25" s="451">
        <f t="shared" si="7"/>
        <v>23587.860576923078</v>
      </c>
      <c r="G25" s="451">
        <f t="shared" si="8"/>
        <v>24829.326923076922</v>
      </c>
      <c r="H25" s="526">
        <f t="shared" si="9"/>
        <v>26070.79326923077</v>
      </c>
    </row>
    <row r="26" spans="2:8" x14ac:dyDescent="0.2">
      <c r="B26" s="525" t="s">
        <v>197</v>
      </c>
      <c r="C26" s="349">
        <v>115.42290521978022</v>
      </c>
      <c r="D26" s="451">
        <f t="shared" si="5"/>
        <v>49054.734718406595</v>
      </c>
      <c r="E26" s="451">
        <f t="shared" si="6"/>
        <v>51940.3073489011</v>
      </c>
      <c r="F26" s="451">
        <f t="shared" si="7"/>
        <v>54825.879979395606</v>
      </c>
      <c r="G26" s="451">
        <f t="shared" si="8"/>
        <v>57711.452609890111</v>
      </c>
      <c r="H26" s="526">
        <f t="shared" si="9"/>
        <v>60597.025240384617</v>
      </c>
    </row>
    <row r="27" spans="2:8" x14ac:dyDescent="0.2">
      <c r="B27" s="525" t="s">
        <v>493</v>
      </c>
      <c r="C27" s="349">
        <v>3.6122802197802195</v>
      </c>
      <c r="D27" s="451">
        <f t="shared" si="5"/>
        <v>1535.2190934065934</v>
      </c>
      <c r="E27" s="451">
        <f t="shared" si="6"/>
        <v>1625.5260989010987</v>
      </c>
      <c r="F27" s="451">
        <f t="shared" si="7"/>
        <v>1715.8331043956043</v>
      </c>
      <c r="G27" s="451">
        <f t="shared" si="8"/>
        <v>1806.1401098901097</v>
      </c>
      <c r="H27" s="526">
        <f t="shared" si="9"/>
        <v>1896.4471153846152</v>
      </c>
    </row>
    <row r="28" spans="2:8" x14ac:dyDescent="0.2">
      <c r="B28" s="525" t="s">
        <v>278</v>
      </c>
      <c r="C28" s="349">
        <v>2.1592376373626374</v>
      </c>
      <c r="D28" s="451">
        <f t="shared" si="5"/>
        <v>917.67599587912093</v>
      </c>
      <c r="E28" s="451">
        <f t="shared" si="6"/>
        <v>971.6569368131868</v>
      </c>
      <c r="F28" s="451">
        <f t="shared" si="7"/>
        <v>1025.6378777472528</v>
      </c>
      <c r="G28" s="451">
        <f t="shared" si="8"/>
        <v>1079.6188186813188</v>
      </c>
      <c r="H28" s="526">
        <f t="shared" si="9"/>
        <v>1133.5997596153845</v>
      </c>
    </row>
    <row r="29" spans="2:8" x14ac:dyDescent="0.2">
      <c r="B29" s="525" t="s">
        <v>494</v>
      </c>
      <c r="C29" s="349">
        <v>134.59752747252747</v>
      </c>
      <c r="D29" s="451">
        <f t="shared" si="5"/>
        <v>57203.949175824178</v>
      </c>
      <c r="E29" s="451">
        <f t="shared" si="6"/>
        <v>60568.887362637361</v>
      </c>
      <c r="F29" s="451">
        <f t="shared" si="7"/>
        <v>63933.82554945055</v>
      </c>
      <c r="G29" s="451">
        <f t="shared" si="8"/>
        <v>67298.763736263732</v>
      </c>
      <c r="H29" s="526">
        <f t="shared" si="9"/>
        <v>70663.701923076922</v>
      </c>
    </row>
    <row r="30" spans="2:8" x14ac:dyDescent="0.2">
      <c r="B30" s="525" t="s">
        <v>495</v>
      </c>
      <c r="C30" s="349">
        <v>145.47999999999999</v>
      </c>
      <c r="D30" s="527">
        <f>+C30*425</f>
        <v>61828.999999999993</v>
      </c>
      <c r="E30" s="451">
        <f>+C30*450</f>
        <v>65465.999999999993</v>
      </c>
      <c r="F30" s="451">
        <f>+C30*475</f>
        <v>69103</v>
      </c>
      <c r="G30" s="451">
        <f>+C30*500</f>
        <v>72740</v>
      </c>
      <c r="H30" s="526">
        <f>+C30*525</f>
        <v>76377</v>
      </c>
    </row>
    <row r="31" spans="2:8" ht="13.5" thickBot="1" x14ac:dyDescent="0.25">
      <c r="B31" s="531" t="s">
        <v>496</v>
      </c>
      <c r="C31" s="535">
        <v>2.0761623333333334</v>
      </c>
      <c r="D31" s="536">
        <v>191646</v>
      </c>
      <c r="E31" s="537">
        <v>191646</v>
      </c>
      <c r="F31" s="537">
        <v>191646</v>
      </c>
      <c r="G31" s="537">
        <v>191646</v>
      </c>
      <c r="H31" s="538">
        <v>191646</v>
      </c>
    </row>
    <row r="32" spans="2:8" ht="13.5" thickBot="1" x14ac:dyDescent="0.25">
      <c r="B32" s="531" t="s">
        <v>497</v>
      </c>
      <c r="C32" s="535">
        <v>709.19756868131867</v>
      </c>
      <c r="D32" s="548">
        <v>301408.96668956045</v>
      </c>
      <c r="E32" s="537">
        <f>+C32*450</f>
        <v>319138.90590659343</v>
      </c>
      <c r="F32" s="537">
        <f>+C32*475</f>
        <v>336868.84512362635</v>
      </c>
      <c r="G32" s="537">
        <f>+C32*500</f>
        <v>354598.78434065933</v>
      </c>
      <c r="H32" s="538">
        <f>+C32*525</f>
        <v>372328.72355769231</v>
      </c>
    </row>
    <row r="33" spans="2:8" ht="13.5" thickBot="1" x14ac:dyDescent="0.25">
      <c r="B33" s="531" t="s">
        <v>86</v>
      </c>
      <c r="C33" s="535">
        <v>650.93993612637371</v>
      </c>
      <c r="D33" s="548">
        <v>276649</v>
      </c>
      <c r="E33" s="537">
        <f>+C33*450</f>
        <v>292922.97125686816</v>
      </c>
      <c r="F33" s="537">
        <f>+C33*475</f>
        <v>309196.46966002753</v>
      </c>
      <c r="G33" s="537">
        <f>+C33*500</f>
        <v>325469.96806318685</v>
      </c>
      <c r="H33" s="538">
        <f>+C33*525</f>
        <v>341743.46646634617</v>
      </c>
    </row>
    <row r="34" spans="2:8" x14ac:dyDescent="0.2">
      <c r="B34" s="371"/>
      <c r="C34" s="504"/>
      <c r="D34" s="505"/>
      <c r="E34" s="543"/>
      <c r="F34" s="543"/>
      <c r="G34" s="543"/>
      <c r="H34" s="543"/>
    </row>
    <row r="35" spans="2:8" ht="13.5" thickBot="1" x14ac:dyDescent="0.25">
      <c r="C35" s="523"/>
    </row>
    <row r="36" spans="2:8" ht="33" customHeight="1" x14ac:dyDescent="0.2">
      <c r="B36" s="637" t="s">
        <v>498</v>
      </c>
      <c r="C36" s="635"/>
      <c r="D36" s="635"/>
      <c r="E36" s="635"/>
      <c r="F36" s="635"/>
      <c r="G36" s="635"/>
      <c r="H36" s="636"/>
    </row>
    <row r="37" spans="2:8" x14ac:dyDescent="0.2">
      <c r="B37" s="503"/>
      <c r="C37" s="504"/>
      <c r="D37" s="505"/>
      <c r="E37" s="505"/>
      <c r="F37" s="505"/>
      <c r="G37" s="505"/>
      <c r="H37" s="506"/>
    </row>
    <row r="38" spans="2:8" x14ac:dyDescent="0.2">
      <c r="B38" s="507"/>
      <c r="C38" s="361"/>
      <c r="D38" s="528" t="s">
        <v>384</v>
      </c>
      <c r="E38" s="370" t="s">
        <v>385</v>
      </c>
      <c r="F38" s="528" t="s">
        <v>386</v>
      </c>
      <c r="G38" s="370" t="s">
        <v>387</v>
      </c>
      <c r="H38" s="529" t="s">
        <v>388</v>
      </c>
    </row>
    <row r="39" spans="2:8" ht="38.25" x14ac:dyDescent="0.2">
      <c r="B39" s="524" t="s">
        <v>483</v>
      </c>
      <c r="C39" s="363" t="s">
        <v>499</v>
      </c>
      <c r="D39" s="370" t="s">
        <v>500</v>
      </c>
      <c r="E39" s="370" t="s">
        <v>500</v>
      </c>
      <c r="F39" s="370" t="s">
        <v>500</v>
      </c>
      <c r="G39" s="370" t="s">
        <v>500</v>
      </c>
      <c r="H39" s="530" t="s">
        <v>500</v>
      </c>
    </row>
    <row r="40" spans="2:8" x14ac:dyDescent="0.2">
      <c r="B40" s="525" t="s">
        <v>501</v>
      </c>
      <c r="C40" s="364">
        <v>3.443076923076923E-2</v>
      </c>
      <c r="D40" s="517">
        <f>+C40*100000</f>
        <v>3443.0769230769229</v>
      </c>
      <c r="E40" s="517">
        <f>+C40*100000</f>
        <v>3443.0769230769229</v>
      </c>
      <c r="F40" s="517">
        <f>+C40*100000</f>
        <v>3443.0769230769229</v>
      </c>
      <c r="G40" s="517">
        <f>+C40*100000</f>
        <v>3443.0769230769229</v>
      </c>
      <c r="H40" s="518">
        <f>+C40*100000</f>
        <v>3443.0769230769229</v>
      </c>
    </row>
    <row r="41" spans="2:8" x14ac:dyDescent="0.2">
      <c r="B41" s="525" t="s">
        <v>502</v>
      </c>
      <c r="C41" s="364">
        <v>0.52776653846153843</v>
      </c>
      <c r="D41" s="517">
        <f t="shared" ref="D41:D46" si="10">+C41*100000</f>
        <v>52776.653846153844</v>
      </c>
      <c r="E41" s="517">
        <f t="shared" ref="E41:E46" si="11">+C41*100000</f>
        <v>52776.653846153844</v>
      </c>
      <c r="F41" s="517">
        <f t="shared" ref="F41:F46" si="12">+C41*100000</f>
        <v>52776.653846153844</v>
      </c>
      <c r="G41" s="517">
        <f t="shared" ref="G41:G46" si="13">+C41*100000</f>
        <v>52776.653846153844</v>
      </c>
      <c r="H41" s="518">
        <f t="shared" ref="H41:H46" si="14">+C41*100000</f>
        <v>52776.653846153844</v>
      </c>
    </row>
    <row r="42" spans="2:8" x14ac:dyDescent="0.2">
      <c r="B42" s="525" t="s">
        <v>503</v>
      </c>
      <c r="C42" s="364">
        <v>0.54488330769230775</v>
      </c>
      <c r="D42" s="517">
        <f t="shared" si="10"/>
        <v>54488.330769230772</v>
      </c>
      <c r="E42" s="517">
        <f t="shared" si="11"/>
        <v>54488.330769230772</v>
      </c>
      <c r="F42" s="517">
        <f t="shared" si="12"/>
        <v>54488.330769230772</v>
      </c>
      <c r="G42" s="517">
        <f t="shared" si="13"/>
        <v>54488.330769230772</v>
      </c>
      <c r="H42" s="518">
        <f t="shared" si="14"/>
        <v>54488.330769230772</v>
      </c>
    </row>
    <row r="43" spans="2:8" x14ac:dyDescent="0.2">
      <c r="B43" s="525" t="s">
        <v>504</v>
      </c>
      <c r="C43" s="364">
        <v>2.0278653969230769</v>
      </c>
      <c r="D43" s="517">
        <f t="shared" si="10"/>
        <v>202786.53969230768</v>
      </c>
      <c r="E43" s="517">
        <f t="shared" si="11"/>
        <v>202786.53969230768</v>
      </c>
      <c r="F43" s="517">
        <f t="shared" si="12"/>
        <v>202786.53969230768</v>
      </c>
      <c r="G43" s="517">
        <f t="shared" si="13"/>
        <v>202786.53969230768</v>
      </c>
      <c r="H43" s="518">
        <f t="shared" si="14"/>
        <v>202786.53969230768</v>
      </c>
    </row>
    <row r="44" spans="2:8" x14ac:dyDescent="0.2">
      <c r="B44" s="525" t="s">
        <v>67</v>
      </c>
      <c r="C44" s="364">
        <v>0.70168026153846152</v>
      </c>
      <c r="D44" s="517">
        <f t="shared" si="10"/>
        <v>70168.026153846149</v>
      </c>
      <c r="E44" s="517">
        <f t="shared" si="11"/>
        <v>70168.026153846149</v>
      </c>
      <c r="F44" s="517">
        <f t="shared" si="12"/>
        <v>70168.026153846149</v>
      </c>
      <c r="G44" s="517">
        <f t="shared" si="13"/>
        <v>70168.026153846149</v>
      </c>
      <c r="H44" s="518">
        <f t="shared" si="14"/>
        <v>70168.026153846149</v>
      </c>
    </row>
    <row r="45" spans="2:8" x14ac:dyDescent="0.2">
      <c r="B45" s="525" t="s">
        <v>505</v>
      </c>
      <c r="C45" s="364">
        <v>0.65293568000000002</v>
      </c>
      <c r="D45" s="517">
        <f t="shared" si="10"/>
        <v>65293.567999999999</v>
      </c>
      <c r="E45" s="517">
        <f t="shared" si="11"/>
        <v>65293.567999999999</v>
      </c>
      <c r="F45" s="517">
        <f t="shared" si="12"/>
        <v>65293.567999999999</v>
      </c>
      <c r="G45" s="517">
        <f t="shared" si="13"/>
        <v>65293.567999999999</v>
      </c>
      <c r="H45" s="518">
        <f t="shared" si="14"/>
        <v>65293.567999999999</v>
      </c>
    </row>
    <row r="46" spans="2:8" ht="13.5" thickBot="1" x14ac:dyDescent="0.25">
      <c r="B46" s="531" t="s">
        <v>66</v>
      </c>
      <c r="C46" s="520">
        <v>2.3008785784615382</v>
      </c>
      <c r="D46" s="521">
        <f t="shared" si="10"/>
        <v>230087.85784615381</v>
      </c>
      <c r="E46" s="521">
        <f t="shared" si="11"/>
        <v>230087.85784615381</v>
      </c>
      <c r="F46" s="521">
        <f t="shared" si="12"/>
        <v>230087.85784615381</v>
      </c>
      <c r="G46" s="521">
        <f t="shared" si="13"/>
        <v>230087.85784615381</v>
      </c>
      <c r="H46" s="522">
        <f t="shared" si="14"/>
        <v>230087.85784615381</v>
      </c>
    </row>
    <row r="47" spans="2:8" ht="13.5" thickBot="1" x14ac:dyDescent="0.25">
      <c r="B47" s="539" t="s">
        <v>506</v>
      </c>
      <c r="C47" s="540">
        <v>0.88177033333333332</v>
      </c>
      <c r="D47" s="541">
        <f>+C47*100000</f>
        <v>88177.033333333326</v>
      </c>
      <c r="E47" s="541">
        <f>+D47</f>
        <v>88177.033333333326</v>
      </c>
      <c r="F47" s="541">
        <f>+E47</f>
        <v>88177.033333333326</v>
      </c>
      <c r="G47" s="541">
        <f>+F47</f>
        <v>88177.033333333326</v>
      </c>
      <c r="H47" s="542">
        <f>+G47</f>
        <v>88177.033333333326</v>
      </c>
    </row>
    <row r="48" spans="2:8" ht="13.5" thickBot="1" x14ac:dyDescent="0.25">
      <c r="C48" s="523"/>
    </row>
    <row r="49" spans="2:8" ht="28.5" customHeight="1" x14ac:dyDescent="0.2">
      <c r="B49" s="637" t="s">
        <v>507</v>
      </c>
      <c r="C49" s="635"/>
      <c r="D49" s="635"/>
      <c r="E49" s="635"/>
      <c r="F49" s="635"/>
      <c r="G49" s="635"/>
      <c r="H49" s="636"/>
    </row>
    <row r="50" spans="2:8" x14ac:dyDescent="0.2">
      <c r="B50" s="503"/>
      <c r="C50" s="504"/>
      <c r="D50" s="505"/>
      <c r="E50" s="505"/>
      <c r="F50" s="505"/>
      <c r="G50" s="505"/>
      <c r="H50" s="506"/>
    </row>
    <row r="51" spans="2:8" x14ac:dyDescent="0.2">
      <c r="B51" s="507"/>
      <c r="C51" s="361"/>
      <c r="D51" s="528" t="s">
        <v>384</v>
      </c>
      <c r="E51" s="370" t="s">
        <v>385</v>
      </c>
      <c r="F51" s="528" t="s">
        <v>386</v>
      </c>
      <c r="G51" s="370" t="s">
        <v>387</v>
      </c>
      <c r="H51" s="529" t="s">
        <v>388</v>
      </c>
    </row>
    <row r="52" spans="2:8" ht="38.25" x14ac:dyDescent="0.2">
      <c r="B52" s="524" t="s">
        <v>483</v>
      </c>
      <c r="C52" s="363" t="s">
        <v>508</v>
      </c>
      <c r="D52" s="370" t="s">
        <v>509</v>
      </c>
      <c r="E52" s="370" t="s">
        <v>510</v>
      </c>
      <c r="F52" s="370" t="s">
        <v>511</v>
      </c>
      <c r="G52" s="370" t="s">
        <v>512</v>
      </c>
      <c r="H52" s="530" t="s">
        <v>513</v>
      </c>
    </row>
    <row r="53" spans="2:8" x14ac:dyDescent="0.2">
      <c r="B53" s="525" t="s">
        <v>514</v>
      </c>
      <c r="C53" s="364">
        <v>84.21875</v>
      </c>
      <c r="D53" s="517">
        <f>+C53*54</f>
        <v>4547.8125</v>
      </c>
      <c r="E53" s="517">
        <f>+C53*57</f>
        <v>4800.46875</v>
      </c>
      <c r="F53" s="517">
        <f>+C53*60</f>
        <v>5053.125</v>
      </c>
      <c r="G53" s="517">
        <f>+C53*63</f>
        <v>5305.78125</v>
      </c>
      <c r="H53" s="518">
        <f>+C53*66</f>
        <v>5558.4375</v>
      </c>
    </row>
    <row r="54" spans="2:8" x14ac:dyDescent="0.2">
      <c r="B54" s="525" t="s">
        <v>515</v>
      </c>
      <c r="C54" s="364">
        <v>115.89440789473684</v>
      </c>
      <c r="D54" s="517">
        <f t="shared" ref="D54:D58" si="15">+C54*54</f>
        <v>6258.2980263157897</v>
      </c>
      <c r="E54" s="517">
        <f t="shared" ref="E54:E58" si="16">+C54*57</f>
        <v>6605.9812499999998</v>
      </c>
      <c r="F54" s="517">
        <f t="shared" ref="F54:F58" si="17">+C54*60</f>
        <v>6953.6644736842109</v>
      </c>
      <c r="G54" s="517">
        <f t="shared" ref="G54:G58" si="18">+C54*63</f>
        <v>7301.347697368421</v>
      </c>
      <c r="H54" s="518">
        <f t="shared" ref="H54:H58" si="19">+C54*66</f>
        <v>7649.030921052632</v>
      </c>
    </row>
    <row r="55" spans="2:8" x14ac:dyDescent="0.2">
      <c r="B55" s="525" t="s">
        <v>516</v>
      </c>
      <c r="C55" s="364">
        <v>407.70565789473687</v>
      </c>
      <c r="D55" s="517">
        <f t="shared" si="15"/>
        <v>22016.10552631579</v>
      </c>
      <c r="E55" s="517">
        <f t="shared" si="16"/>
        <v>23239.222500000003</v>
      </c>
      <c r="F55" s="517">
        <f t="shared" si="17"/>
        <v>24462.339473684213</v>
      </c>
      <c r="G55" s="517">
        <f t="shared" si="18"/>
        <v>25685.456447368422</v>
      </c>
      <c r="H55" s="518">
        <f t="shared" si="19"/>
        <v>26908.573421052635</v>
      </c>
    </row>
    <row r="56" spans="2:8" x14ac:dyDescent="0.2">
      <c r="B56" s="525" t="s">
        <v>517</v>
      </c>
      <c r="C56" s="364">
        <v>949.81703947368419</v>
      </c>
      <c r="D56" s="517">
        <f t="shared" si="15"/>
        <v>51290.120131578944</v>
      </c>
      <c r="E56" s="517">
        <f t="shared" si="16"/>
        <v>54139.571250000001</v>
      </c>
      <c r="F56" s="517">
        <f t="shared" si="17"/>
        <v>56989.02236842105</v>
      </c>
      <c r="G56" s="517">
        <f t="shared" si="18"/>
        <v>59838.473486842107</v>
      </c>
      <c r="H56" s="518">
        <f t="shared" si="19"/>
        <v>62687.924605263157</v>
      </c>
    </row>
    <row r="57" spans="2:8" x14ac:dyDescent="0.2">
      <c r="B57" s="525" t="s">
        <v>518</v>
      </c>
      <c r="C57" s="364">
        <v>404.88809210526307</v>
      </c>
      <c r="D57" s="517">
        <f t="shared" si="15"/>
        <v>21863.956973684206</v>
      </c>
      <c r="E57" s="517">
        <f t="shared" si="16"/>
        <v>23078.621249999997</v>
      </c>
      <c r="F57" s="517">
        <f t="shared" si="17"/>
        <v>24293.285526315783</v>
      </c>
      <c r="G57" s="517">
        <f t="shared" si="18"/>
        <v>25507.949802631574</v>
      </c>
      <c r="H57" s="518">
        <f t="shared" si="19"/>
        <v>26722.614078947361</v>
      </c>
    </row>
    <row r="58" spans="2:8" x14ac:dyDescent="0.2">
      <c r="B58" s="525" t="s">
        <v>519</v>
      </c>
      <c r="C58" s="364">
        <v>138.93723684210525</v>
      </c>
      <c r="D58" s="517">
        <f t="shared" si="15"/>
        <v>7502.6107894736833</v>
      </c>
      <c r="E58" s="517">
        <f t="shared" si="16"/>
        <v>7919.4224999999997</v>
      </c>
      <c r="F58" s="517">
        <f t="shared" si="17"/>
        <v>8336.2342105263142</v>
      </c>
      <c r="G58" s="517">
        <f t="shared" si="18"/>
        <v>8753.0459210526315</v>
      </c>
      <c r="H58" s="518">
        <f t="shared" si="19"/>
        <v>9169.8576315789469</v>
      </c>
    </row>
    <row r="59" spans="2:8" ht="13.5" thickBot="1" x14ac:dyDescent="0.25">
      <c r="B59" s="532"/>
      <c r="C59" s="533"/>
      <c r="D59" s="533"/>
      <c r="E59" s="533"/>
      <c r="F59" s="533"/>
      <c r="G59" s="533"/>
      <c r="H59" s="534"/>
    </row>
  </sheetData>
  <mergeCells count="4">
    <mergeCell ref="B1:H1"/>
    <mergeCell ref="B13:H13"/>
    <mergeCell ref="B36:H36"/>
    <mergeCell ref="B49:H49"/>
  </mergeCells>
  <pageMargins left="0.7" right="0.7" top="0.75" bottom="0.75" header="0.3" footer="0.3"/>
  <pageSetup orientation="landscape" r:id="rId1"/>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topLeftCell="A19" zoomScaleNormal="100" workbookViewId="0">
      <selection activeCell="G2" sqref="G2:I12"/>
    </sheetView>
  </sheetViews>
  <sheetFormatPr defaultColWidth="9.28515625" defaultRowHeight="12.75" x14ac:dyDescent="0.2"/>
  <cols>
    <col min="1" max="1" width="24.28515625" bestFit="1" customWidth="1"/>
    <col min="2" max="2" width="8.7109375" bestFit="1" customWidth="1"/>
    <col min="3" max="3" width="12.5703125" bestFit="1" customWidth="1"/>
    <col min="4" max="4" width="15.42578125" bestFit="1" customWidth="1"/>
    <col min="5" max="5" width="11.42578125" customWidth="1"/>
    <col min="6" max="6" width="4.5703125" customWidth="1"/>
    <col min="7" max="7" width="25" bestFit="1" customWidth="1"/>
    <col min="8" max="8" width="11.140625" customWidth="1"/>
    <col min="9" max="9" width="14.140625" customWidth="1"/>
  </cols>
  <sheetData>
    <row r="1" spans="1:9" x14ac:dyDescent="0.2">
      <c r="A1" s="641" t="s">
        <v>520</v>
      </c>
      <c r="B1" s="642"/>
      <c r="C1" s="642"/>
      <c r="D1" s="642"/>
      <c r="E1" s="643"/>
      <c r="F1" s="371"/>
    </row>
    <row r="2" spans="1:9" x14ac:dyDescent="0.2">
      <c r="A2" s="360" t="s">
        <v>521</v>
      </c>
      <c r="B2" s="350" t="s">
        <v>522</v>
      </c>
      <c r="C2" s="350"/>
      <c r="D2" s="350"/>
      <c r="E2" s="350"/>
      <c r="F2" s="372"/>
      <c r="G2" s="633" t="s">
        <v>523</v>
      </c>
      <c r="H2" s="633"/>
      <c r="I2" s="633"/>
    </row>
    <row r="3" spans="1:9" ht="38.25" x14ac:dyDescent="0.2">
      <c r="A3" s="361" t="s">
        <v>524</v>
      </c>
      <c r="B3" s="362" t="s">
        <v>525</v>
      </c>
      <c r="C3" s="363" t="s">
        <v>526</v>
      </c>
      <c r="D3" s="363" t="s">
        <v>527</v>
      </c>
      <c r="E3" s="370" t="s">
        <v>528</v>
      </c>
      <c r="F3" s="558"/>
      <c r="G3" s="373" t="s">
        <v>529</v>
      </c>
      <c r="H3" s="561" t="s">
        <v>530</v>
      </c>
      <c r="I3" s="373"/>
    </row>
    <row r="4" spans="1:9" x14ac:dyDescent="0.2">
      <c r="A4" s="364" t="s">
        <v>531</v>
      </c>
      <c r="B4" s="369">
        <f>+'Enrollment Assuptions'!B12</f>
        <v>425</v>
      </c>
      <c r="C4" s="364">
        <v>2095</v>
      </c>
      <c r="D4" s="364">
        <v>890375</v>
      </c>
      <c r="E4" s="359" t="s">
        <v>532</v>
      </c>
      <c r="F4" s="371"/>
      <c r="G4" s="358"/>
      <c r="H4" s="358"/>
      <c r="I4" s="358"/>
    </row>
    <row r="5" spans="1:9" x14ac:dyDescent="0.2">
      <c r="A5" s="364" t="s">
        <v>533</v>
      </c>
      <c r="B5" s="369">
        <v>12.319979177290497</v>
      </c>
      <c r="C5" s="364">
        <v>1474.6159124175751</v>
      </c>
      <c r="D5" s="364">
        <v>18167.237335485752</v>
      </c>
      <c r="E5" s="359" t="s">
        <v>532</v>
      </c>
      <c r="F5" s="371"/>
      <c r="G5" s="358" t="s">
        <v>533</v>
      </c>
      <c r="H5" s="448">
        <v>2.8988186299507054E-2</v>
      </c>
      <c r="I5" s="638" t="s">
        <v>534</v>
      </c>
    </row>
    <row r="6" spans="1:9" x14ac:dyDescent="0.2">
      <c r="A6" s="364" t="s">
        <v>535</v>
      </c>
      <c r="B6" s="369">
        <v>32.459257606663265</v>
      </c>
      <c r="C6" s="364">
        <v>8663.368485453253</v>
      </c>
      <c r="D6" s="364">
        <v>281206.50941077532</v>
      </c>
      <c r="E6" s="359" t="s">
        <v>532</v>
      </c>
      <c r="F6" s="371"/>
      <c r="G6" s="358" t="s">
        <v>535</v>
      </c>
      <c r="H6" s="448">
        <v>7.6374723780384152E-2</v>
      </c>
      <c r="I6" s="639"/>
    </row>
    <row r="7" spans="1:9" x14ac:dyDescent="0.2">
      <c r="A7" s="364" t="s">
        <v>536</v>
      </c>
      <c r="B7" s="369">
        <v>10.237601988781234</v>
      </c>
      <c r="C7" s="364">
        <v>13824.524178914766</v>
      </c>
      <c r="D7" s="364">
        <v>141529.97622801206</v>
      </c>
      <c r="E7" s="359" t="s">
        <v>532</v>
      </c>
      <c r="F7" s="371"/>
      <c r="G7" s="358" t="s">
        <v>536</v>
      </c>
      <c r="H7" s="448">
        <v>2.4088475267720552E-2</v>
      </c>
      <c r="I7" s="639"/>
    </row>
    <row r="8" spans="1:9" x14ac:dyDescent="0.2">
      <c r="A8" s="364" t="s">
        <v>537</v>
      </c>
      <c r="B8" s="369">
        <v>2.1537162162162162</v>
      </c>
      <c r="C8" s="364">
        <v>16036.448047541127</v>
      </c>
      <c r="D8" s="364">
        <v>34537.958210498204</v>
      </c>
      <c r="E8" s="359" t="s">
        <v>532</v>
      </c>
      <c r="F8" s="371"/>
      <c r="G8" s="358" t="s">
        <v>537</v>
      </c>
      <c r="H8" s="448">
        <v>5.0675675675675678E-3</v>
      </c>
      <c r="I8" s="639"/>
    </row>
    <row r="9" spans="1:9" x14ac:dyDescent="0.2">
      <c r="A9" s="364" t="s">
        <v>538</v>
      </c>
      <c r="B9" s="369">
        <v>5.6782253952065274</v>
      </c>
      <c r="C9" s="364">
        <v>22119.238686263627</v>
      </c>
      <c r="D9" s="364">
        <v>125598.02283097678</v>
      </c>
      <c r="E9" s="359" t="s">
        <v>532</v>
      </c>
      <c r="F9" s="371"/>
      <c r="G9" s="358" t="s">
        <v>538</v>
      </c>
      <c r="H9" s="448">
        <v>1.3360530341662418E-2</v>
      </c>
      <c r="I9" s="639"/>
    </row>
    <row r="10" spans="1:9" x14ac:dyDescent="0.2">
      <c r="A10" s="364" t="s">
        <v>539</v>
      </c>
      <c r="B10" s="369">
        <v>10.489546149923509</v>
      </c>
      <c r="C10" s="364">
        <v>368.65397810439379</v>
      </c>
      <c r="D10" s="364">
        <v>3867.0129166789293</v>
      </c>
      <c r="E10" s="359" t="s">
        <v>532</v>
      </c>
      <c r="F10" s="371"/>
      <c r="G10" s="358" t="s">
        <v>539</v>
      </c>
      <c r="H10" s="448">
        <v>2.4681285058643549E-2</v>
      </c>
      <c r="I10" s="639"/>
    </row>
    <row r="11" spans="1:9" x14ac:dyDescent="0.2">
      <c r="A11" s="364" t="s">
        <v>12</v>
      </c>
      <c r="B11" s="369">
        <v>12.75</v>
      </c>
      <c r="C11" s="364">
        <v>2211.9238686263625</v>
      </c>
      <c r="D11" s="364">
        <v>28202.029324986121</v>
      </c>
      <c r="E11" s="359" t="s">
        <v>532</v>
      </c>
      <c r="F11" s="371"/>
      <c r="G11" s="358" t="s">
        <v>12</v>
      </c>
      <c r="H11" s="448">
        <v>0.19274392316845146</v>
      </c>
      <c r="I11" s="639"/>
    </row>
    <row r="12" spans="1:9" x14ac:dyDescent="0.2">
      <c r="A12" s="364" t="s">
        <v>13</v>
      </c>
      <c r="B12" s="369">
        <v>6.2408103858575563</v>
      </c>
      <c r="C12" s="364">
        <v>1658.9429014697719</v>
      </c>
      <c r="D12" s="364">
        <v>10353.14808903722</v>
      </c>
      <c r="E12" s="359" t="s">
        <v>532</v>
      </c>
      <c r="F12" s="371"/>
      <c r="G12" s="358" t="s">
        <v>13</v>
      </c>
      <c r="H12" s="448">
        <v>1.4684259731429544E-2</v>
      </c>
      <c r="I12" s="640"/>
    </row>
    <row r="13" spans="1:9" x14ac:dyDescent="0.2">
      <c r="A13" s="364" t="s">
        <v>540</v>
      </c>
      <c r="B13" s="369">
        <v>425</v>
      </c>
      <c r="C13" s="364">
        <v>642.89065513553726</v>
      </c>
      <c r="D13" s="364">
        <v>273228.52843260334</v>
      </c>
      <c r="E13" s="359" t="s">
        <v>532</v>
      </c>
      <c r="F13" s="371"/>
    </row>
    <row r="14" spans="1:9" x14ac:dyDescent="0.2">
      <c r="A14" s="364" t="s">
        <v>541</v>
      </c>
      <c r="B14" s="369">
        <v>425</v>
      </c>
      <c r="C14" s="364">
        <v>5278</v>
      </c>
      <c r="D14" s="365">
        <v>2243150</v>
      </c>
      <c r="E14" s="359" t="s">
        <v>542</v>
      </c>
      <c r="F14" s="371"/>
    </row>
    <row r="15" spans="1:9" x14ac:dyDescent="0.2">
      <c r="A15" s="364" t="s">
        <v>543</v>
      </c>
      <c r="B15" s="364"/>
      <c r="C15" s="364"/>
      <c r="D15" s="364">
        <v>4050215.4227790539</v>
      </c>
      <c r="E15" s="359"/>
      <c r="F15" s="371"/>
    </row>
    <row r="16" spans="1:9" x14ac:dyDescent="0.2">
      <c r="A16" s="364" t="s">
        <v>544</v>
      </c>
      <c r="B16" s="364"/>
      <c r="C16" s="364"/>
      <c r="D16" s="364"/>
      <c r="E16" s="359"/>
      <c r="F16" s="371"/>
    </row>
    <row r="17" spans="1:9" x14ac:dyDescent="0.2">
      <c r="A17" s="359" t="s">
        <v>545</v>
      </c>
      <c r="B17" s="359"/>
      <c r="C17" s="359"/>
      <c r="D17" s="366">
        <v>-36141.308455581078</v>
      </c>
      <c r="E17" s="359" t="s">
        <v>532</v>
      </c>
      <c r="F17" s="371"/>
    </row>
    <row r="18" spans="1:9" x14ac:dyDescent="0.2">
      <c r="A18" s="359" t="s">
        <v>546</v>
      </c>
      <c r="B18" s="359"/>
      <c r="C18" s="359"/>
      <c r="D18" s="367">
        <v>-44863</v>
      </c>
      <c r="E18" s="359" t="s">
        <v>542</v>
      </c>
      <c r="F18" s="371"/>
    </row>
    <row r="19" spans="1:9" x14ac:dyDescent="0.2">
      <c r="A19" s="359" t="s">
        <v>547</v>
      </c>
      <c r="B19" s="359"/>
      <c r="C19" s="359"/>
      <c r="D19" s="368">
        <v>-4068.5</v>
      </c>
      <c r="E19" s="359" t="s">
        <v>532</v>
      </c>
      <c r="F19" s="371"/>
    </row>
    <row r="20" spans="1:9" x14ac:dyDescent="0.2">
      <c r="A20" s="359" t="s">
        <v>548</v>
      </c>
      <c r="B20" s="359"/>
      <c r="C20" s="359"/>
      <c r="D20" s="367">
        <v>-36392</v>
      </c>
      <c r="E20" s="359" t="s">
        <v>542</v>
      </c>
      <c r="F20" s="371"/>
    </row>
    <row r="21" spans="1:9" x14ac:dyDescent="0.2">
      <c r="A21" s="364" t="s">
        <v>549</v>
      </c>
      <c r="B21" s="364"/>
      <c r="C21" s="364"/>
      <c r="D21" s="364">
        <v>3928750.6143234726</v>
      </c>
      <c r="E21" s="359"/>
      <c r="F21" s="371"/>
    </row>
    <row r="22" spans="1:9" x14ac:dyDescent="0.2">
      <c r="A22" s="364" t="s">
        <v>550</v>
      </c>
      <c r="B22" s="364"/>
      <c r="C22" s="364"/>
      <c r="D22" s="364">
        <v>9244.1190925258179</v>
      </c>
      <c r="E22" s="359"/>
      <c r="F22" s="371"/>
    </row>
    <row r="23" spans="1:9" x14ac:dyDescent="0.2">
      <c r="A23" s="359"/>
      <c r="B23" s="359"/>
      <c r="C23" s="359"/>
      <c r="D23" s="359"/>
      <c r="E23" s="359"/>
      <c r="F23" s="371"/>
    </row>
    <row r="24" spans="1:9" x14ac:dyDescent="0.2">
      <c r="A24" s="359" t="s">
        <v>81</v>
      </c>
      <c r="B24" s="359"/>
      <c r="C24" s="359"/>
      <c r="D24" s="366">
        <v>2161895</v>
      </c>
      <c r="E24" s="359"/>
      <c r="F24" s="371"/>
    </row>
    <row r="25" spans="1:9" x14ac:dyDescent="0.2">
      <c r="A25" s="359"/>
      <c r="B25" s="359"/>
      <c r="C25" s="359"/>
      <c r="D25" s="359"/>
      <c r="E25" s="359"/>
      <c r="F25" s="371"/>
    </row>
    <row r="26" spans="1:9" x14ac:dyDescent="0.2">
      <c r="A26" s="359" t="s">
        <v>102</v>
      </c>
      <c r="B26" s="359"/>
      <c r="C26" s="359"/>
      <c r="D26" s="366">
        <v>1766855.6143234726</v>
      </c>
      <c r="E26" s="359"/>
      <c r="F26" s="371"/>
    </row>
    <row r="27" spans="1:9" x14ac:dyDescent="0.2">
      <c r="A27" s="359"/>
      <c r="B27" s="359"/>
      <c r="C27" s="359"/>
      <c r="D27" s="359"/>
      <c r="E27" s="359"/>
      <c r="F27" s="371"/>
    </row>
    <row r="28" spans="1:9" x14ac:dyDescent="0.2">
      <c r="A28" s="359" t="s">
        <v>551</v>
      </c>
      <c r="B28" s="359"/>
      <c r="C28" s="359"/>
      <c r="D28" s="366">
        <v>3928750.6143234726</v>
      </c>
      <c r="E28" s="359"/>
      <c r="F28" s="371"/>
    </row>
    <row r="29" spans="1:9" x14ac:dyDescent="0.2">
      <c r="G29" s="374"/>
      <c r="H29" s="374"/>
      <c r="I29" s="374"/>
    </row>
    <row r="30" spans="1:9" x14ac:dyDescent="0.2">
      <c r="A30" s="641" t="s">
        <v>552</v>
      </c>
      <c r="B30" s="642"/>
      <c r="C30" s="642"/>
      <c r="D30" s="642"/>
      <c r="E30" s="643"/>
      <c r="F30" s="371"/>
    </row>
    <row r="31" spans="1:9" x14ac:dyDescent="0.2">
      <c r="A31" s="360" t="s">
        <v>521</v>
      </c>
      <c r="B31" s="350" t="s">
        <v>522</v>
      </c>
      <c r="C31" s="350"/>
      <c r="D31" s="350"/>
      <c r="E31" s="350"/>
      <c r="F31" s="372"/>
      <c r="G31" s="633" t="s">
        <v>523</v>
      </c>
      <c r="H31" s="633"/>
      <c r="I31" s="633"/>
    </row>
    <row r="32" spans="1:9" ht="38.25" x14ac:dyDescent="0.2">
      <c r="A32" s="361" t="s">
        <v>524</v>
      </c>
      <c r="B32" s="362" t="s">
        <v>525</v>
      </c>
      <c r="C32" s="363" t="s">
        <v>526</v>
      </c>
      <c r="D32" s="363" t="s">
        <v>527</v>
      </c>
      <c r="E32" s="370" t="s">
        <v>528</v>
      </c>
      <c r="F32" s="558"/>
      <c r="G32" s="373" t="s">
        <v>529</v>
      </c>
      <c r="H32" s="561" t="s">
        <v>530</v>
      </c>
      <c r="I32" s="373"/>
    </row>
    <row r="33" spans="1:9" x14ac:dyDescent="0.2">
      <c r="A33" s="364" t="s">
        <v>531</v>
      </c>
      <c r="B33" s="369">
        <f>+'Enrollment Assuptions'!C12</f>
        <v>450</v>
      </c>
      <c r="C33" s="364">
        <v>2095</v>
      </c>
      <c r="D33" s="364">
        <f>+B33*C33</f>
        <v>942750</v>
      </c>
      <c r="E33" s="359" t="s">
        <v>532</v>
      </c>
      <c r="F33" s="371"/>
      <c r="G33" s="358"/>
      <c r="H33" s="358"/>
      <c r="I33" s="358"/>
    </row>
    <row r="34" spans="1:9" x14ac:dyDescent="0.2">
      <c r="A34" s="364" t="s">
        <v>533</v>
      </c>
      <c r="B34" s="369">
        <f>+B33*H34</f>
        <v>13.044683834778175</v>
      </c>
      <c r="C34" s="364">
        <v>1474.6159124175751</v>
      </c>
      <c r="D34" s="364">
        <f t="shared" ref="D34:D43" si="0">+B34*C34</f>
        <v>19235.898355220212</v>
      </c>
      <c r="E34" s="359" t="s">
        <v>532</v>
      </c>
      <c r="F34" s="371"/>
      <c r="G34" s="358" t="s">
        <v>533</v>
      </c>
      <c r="H34" s="448">
        <v>2.8988186299507054E-2</v>
      </c>
      <c r="I34" s="638" t="s">
        <v>534</v>
      </c>
    </row>
    <row r="35" spans="1:9" x14ac:dyDescent="0.2">
      <c r="A35" s="364" t="s">
        <v>535</v>
      </c>
      <c r="B35" s="369">
        <f>+B33*H35</f>
        <v>34.368625701172867</v>
      </c>
      <c r="C35" s="364">
        <v>8663.368485453253</v>
      </c>
      <c r="D35" s="364">
        <f t="shared" si="0"/>
        <v>297748.06878787972</v>
      </c>
      <c r="E35" s="359" t="s">
        <v>532</v>
      </c>
      <c r="F35" s="371"/>
      <c r="G35" s="358" t="s">
        <v>535</v>
      </c>
      <c r="H35" s="448">
        <v>7.6374723780384152E-2</v>
      </c>
      <c r="I35" s="639"/>
    </row>
    <row r="36" spans="1:9" x14ac:dyDescent="0.2">
      <c r="A36" s="364" t="s">
        <v>536</v>
      </c>
      <c r="B36" s="369">
        <f>+B33*H36</f>
        <v>10.839813870474249</v>
      </c>
      <c r="C36" s="364">
        <v>13824.524178914766</v>
      </c>
      <c r="D36" s="364">
        <f t="shared" si="0"/>
        <v>149855.2689473069</v>
      </c>
      <c r="E36" s="359" t="s">
        <v>532</v>
      </c>
      <c r="F36" s="371"/>
      <c r="G36" s="358" t="s">
        <v>536</v>
      </c>
      <c r="H36" s="448">
        <v>2.4088475267720552E-2</v>
      </c>
      <c r="I36" s="639"/>
    </row>
    <row r="37" spans="1:9" x14ac:dyDescent="0.2">
      <c r="A37" s="364" t="s">
        <v>537</v>
      </c>
      <c r="B37" s="369">
        <f>+B33*H37</f>
        <v>2.2804054054054057</v>
      </c>
      <c r="C37" s="364">
        <v>16036.448047541127</v>
      </c>
      <c r="D37" s="364">
        <f t="shared" si="0"/>
        <v>36569.60281111575</v>
      </c>
      <c r="E37" s="359" t="s">
        <v>532</v>
      </c>
      <c r="F37" s="371"/>
      <c r="G37" s="358" t="s">
        <v>537</v>
      </c>
      <c r="H37" s="448">
        <v>5.0675675675675678E-3</v>
      </c>
      <c r="I37" s="639"/>
    </row>
    <row r="38" spans="1:9" x14ac:dyDescent="0.2">
      <c r="A38" s="364" t="s">
        <v>538</v>
      </c>
      <c r="B38" s="369">
        <f>+B33*H38</f>
        <v>6.0122386537480876</v>
      </c>
      <c r="C38" s="364">
        <v>22119.238686263627</v>
      </c>
      <c r="D38" s="364">
        <f t="shared" si="0"/>
        <v>132986.14182103425</v>
      </c>
      <c r="E38" s="359" t="s">
        <v>532</v>
      </c>
      <c r="F38" s="371"/>
      <c r="G38" s="358" t="s">
        <v>538</v>
      </c>
      <c r="H38" s="448">
        <v>1.3360530341662418E-2</v>
      </c>
      <c r="I38" s="639"/>
    </row>
    <row r="39" spans="1:9" x14ac:dyDescent="0.2">
      <c r="A39" s="364" t="s">
        <v>539</v>
      </c>
      <c r="B39" s="369">
        <f>+B33*H39</f>
        <v>11.106578276389596</v>
      </c>
      <c r="C39" s="364">
        <v>368.65397810439379</v>
      </c>
      <c r="D39" s="364">
        <f t="shared" si="0"/>
        <v>4094.4842647188661</v>
      </c>
      <c r="E39" s="359" t="s">
        <v>532</v>
      </c>
      <c r="F39" s="371"/>
      <c r="G39" s="358" t="s">
        <v>539</v>
      </c>
      <c r="H39" s="448">
        <v>2.4681285058643549E-2</v>
      </c>
      <c r="I39" s="639"/>
    </row>
    <row r="40" spans="1:9" x14ac:dyDescent="0.2">
      <c r="A40" s="364" t="s">
        <v>12</v>
      </c>
      <c r="B40" s="369">
        <f>+B33*H40</f>
        <v>86.734765425803161</v>
      </c>
      <c r="C40" s="364">
        <v>2211.9238686263625</v>
      </c>
      <c r="D40" s="364">
        <f t="shared" si="0"/>
        <v>191850.69788504261</v>
      </c>
      <c r="E40" s="359" t="s">
        <v>532</v>
      </c>
      <c r="F40" s="371"/>
      <c r="G40" s="358" t="s">
        <v>12</v>
      </c>
      <c r="H40" s="448">
        <v>0.19274392316845146</v>
      </c>
      <c r="I40" s="639"/>
    </row>
    <row r="41" spans="1:9" x14ac:dyDescent="0.2">
      <c r="A41" s="364" t="s">
        <v>13</v>
      </c>
      <c r="B41" s="369">
        <f>+B33*H41</f>
        <v>6.6079168791432945</v>
      </c>
      <c r="C41" s="364">
        <v>1658.9429014697719</v>
      </c>
      <c r="D41" s="364">
        <f t="shared" si="0"/>
        <v>10962.156800157058</v>
      </c>
      <c r="E41" s="359" t="s">
        <v>532</v>
      </c>
      <c r="F41" s="371"/>
      <c r="G41" s="358" t="s">
        <v>13</v>
      </c>
      <c r="H41" s="448">
        <v>1.4684259731429544E-2</v>
      </c>
      <c r="I41" s="640"/>
    </row>
    <row r="42" spans="1:9" x14ac:dyDescent="0.2">
      <c r="A42" s="364" t="s">
        <v>540</v>
      </c>
      <c r="B42" s="369">
        <f>+B33</f>
        <v>450</v>
      </c>
      <c r="C42" s="364">
        <v>642.89065513553726</v>
      </c>
      <c r="D42" s="364">
        <f t="shared" si="0"/>
        <v>289300.79481099179</v>
      </c>
      <c r="E42" s="359" t="s">
        <v>532</v>
      </c>
      <c r="F42" s="371"/>
    </row>
    <row r="43" spans="1:9" x14ac:dyDescent="0.2">
      <c r="A43" s="364" t="s">
        <v>541</v>
      </c>
      <c r="B43" s="369">
        <f>+B33</f>
        <v>450</v>
      </c>
      <c r="C43" s="364">
        <v>5278</v>
      </c>
      <c r="D43" s="365">
        <f t="shared" si="0"/>
        <v>2375100</v>
      </c>
      <c r="E43" s="359" t="s">
        <v>542</v>
      </c>
      <c r="F43" s="371"/>
    </row>
    <row r="44" spans="1:9" x14ac:dyDescent="0.2">
      <c r="A44" s="364" t="s">
        <v>543</v>
      </c>
      <c r="B44" s="364"/>
      <c r="C44" s="364"/>
      <c r="D44" s="364">
        <f>SUM(D33:D43)</f>
        <v>4450453.1144834673</v>
      </c>
      <c r="E44" s="359"/>
      <c r="F44" s="371"/>
    </row>
    <row r="45" spans="1:9" x14ac:dyDescent="0.2">
      <c r="A45" s="364" t="s">
        <v>544</v>
      </c>
      <c r="B45" s="364"/>
      <c r="C45" s="364"/>
      <c r="D45" s="364"/>
      <c r="E45" s="359"/>
      <c r="F45" s="371"/>
    </row>
    <row r="46" spans="1:9" x14ac:dyDescent="0.2">
      <c r="A46" s="359" t="s">
        <v>545</v>
      </c>
      <c r="B46" s="359"/>
      <c r="C46" s="359"/>
      <c r="D46" s="366">
        <f>(SUM(D33:D42))*-2%</f>
        <v>-41507.062289669346</v>
      </c>
      <c r="E46" s="359" t="s">
        <v>532</v>
      </c>
      <c r="F46" s="371"/>
    </row>
    <row r="47" spans="1:9" x14ac:dyDescent="0.2">
      <c r="A47" s="359" t="s">
        <v>546</v>
      </c>
      <c r="B47" s="359"/>
      <c r="C47" s="359"/>
      <c r="D47" s="367">
        <f>(D43*-2%)</f>
        <v>-47502</v>
      </c>
      <c r="E47" s="359" t="s">
        <v>542</v>
      </c>
      <c r="F47" s="371"/>
    </row>
    <row r="48" spans="1:9" x14ac:dyDescent="0.2">
      <c r="A48" s="359" t="s">
        <v>547</v>
      </c>
      <c r="B48" s="359"/>
      <c r="C48" s="359"/>
      <c r="D48" s="368">
        <v>-4068.5</v>
      </c>
      <c r="E48" s="359" t="s">
        <v>532</v>
      </c>
      <c r="F48" s="371"/>
    </row>
    <row r="49" spans="1:9" x14ac:dyDescent="0.2">
      <c r="A49" s="359" t="s">
        <v>548</v>
      </c>
      <c r="B49" s="359"/>
      <c r="C49" s="359"/>
      <c r="D49" s="367">
        <v>-36392</v>
      </c>
      <c r="E49" s="359" t="s">
        <v>542</v>
      </c>
      <c r="F49" s="371"/>
    </row>
    <row r="50" spans="1:9" x14ac:dyDescent="0.2">
      <c r="A50" s="364" t="s">
        <v>549</v>
      </c>
      <c r="B50" s="364"/>
      <c r="C50" s="364"/>
      <c r="D50" s="364">
        <f>SUM(D44:D49)</f>
        <v>4320983.5521937981</v>
      </c>
      <c r="E50" s="359"/>
      <c r="F50" s="371"/>
    </row>
    <row r="51" spans="1:9" x14ac:dyDescent="0.2">
      <c r="A51" s="364" t="s">
        <v>550</v>
      </c>
      <c r="B51" s="364"/>
      <c r="C51" s="364"/>
      <c r="D51" s="364">
        <f>+D50/B33</f>
        <v>9602.1856715417744</v>
      </c>
      <c r="E51" s="359"/>
      <c r="F51" s="371"/>
    </row>
    <row r="52" spans="1:9" x14ac:dyDescent="0.2">
      <c r="A52" s="359"/>
      <c r="B52" s="359"/>
      <c r="C52" s="359"/>
      <c r="D52" s="359"/>
      <c r="E52" s="359"/>
      <c r="F52" s="371"/>
    </row>
    <row r="53" spans="1:9" x14ac:dyDescent="0.2">
      <c r="A53" s="359" t="s">
        <v>81</v>
      </c>
      <c r="B53" s="359"/>
      <c r="C53" s="359"/>
      <c r="D53" s="366">
        <f>+D43+D47+D49</f>
        <v>2291206</v>
      </c>
      <c r="E53" s="359"/>
      <c r="F53" s="371"/>
    </row>
    <row r="54" spans="1:9" x14ac:dyDescent="0.2">
      <c r="A54" s="359"/>
      <c r="B54" s="359"/>
      <c r="C54" s="359"/>
      <c r="D54" s="359"/>
      <c r="E54" s="359"/>
      <c r="F54" s="371"/>
    </row>
    <row r="55" spans="1:9" x14ac:dyDescent="0.2">
      <c r="A55" s="359" t="s">
        <v>102</v>
      </c>
      <c r="B55" s="359"/>
      <c r="C55" s="359"/>
      <c r="D55" s="366">
        <f>+D50-D53</f>
        <v>2029777.5521937981</v>
      </c>
      <c r="E55" s="359"/>
      <c r="F55" s="371"/>
    </row>
    <row r="56" spans="1:9" x14ac:dyDescent="0.2">
      <c r="A56" s="359"/>
      <c r="B56" s="359"/>
      <c r="C56" s="359"/>
      <c r="D56" s="359"/>
      <c r="E56" s="359"/>
      <c r="F56" s="371"/>
    </row>
    <row r="57" spans="1:9" x14ac:dyDescent="0.2">
      <c r="A57" s="359" t="s">
        <v>551</v>
      </c>
      <c r="B57" s="359"/>
      <c r="C57" s="359"/>
      <c r="D57" s="366">
        <f>+D53+D55</f>
        <v>4320983.5521937981</v>
      </c>
      <c r="E57" s="359"/>
      <c r="F57" s="371"/>
    </row>
    <row r="58" spans="1:9" x14ac:dyDescent="0.2">
      <c r="A58" s="359"/>
      <c r="B58" s="359"/>
      <c r="C58" s="359"/>
      <c r="D58" s="359"/>
      <c r="E58" s="359"/>
      <c r="F58" s="371"/>
      <c r="G58" s="374"/>
      <c r="H58" s="374"/>
      <c r="I58" s="374"/>
    </row>
    <row r="60" spans="1:9" x14ac:dyDescent="0.2">
      <c r="A60" s="641" t="s">
        <v>553</v>
      </c>
      <c r="B60" s="642"/>
      <c r="C60" s="642"/>
      <c r="D60" s="642"/>
      <c r="E60" s="643"/>
      <c r="F60" s="371"/>
    </row>
    <row r="61" spans="1:9" x14ac:dyDescent="0.2">
      <c r="A61" s="360" t="s">
        <v>521</v>
      </c>
      <c r="B61" s="350" t="s">
        <v>522</v>
      </c>
      <c r="C61" s="350"/>
      <c r="D61" s="350"/>
      <c r="E61" s="350"/>
      <c r="F61" s="372"/>
      <c r="G61" s="633" t="s">
        <v>523</v>
      </c>
      <c r="H61" s="633"/>
      <c r="I61" s="633"/>
    </row>
    <row r="62" spans="1:9" ht="38.25" x14ac:dyDescent="0.2">
      <c r="A62" s="361" t="s">
        <v>524</v>
      </c>
      <c r="B62" s="362" t="s">
        <v>525</v>
      </c>
      <c r="C62" s="363" t="s">
        <v>526</v>
      </c>
      <c r="D62" s="363" t="s">
        <v>527</v>
      </c>
      <c r="E62" s="370" t="s">
        <v>528</v>
      </c>
      <c r="F62" s="558"/>
      <c r="G62" s="373" t="s">
        <v>529</v>
      </c>
      <c r="H62" s="561" t="s">
        <v>530</v>
      </c>
      <c r="I62" s="373"/>
    </row>
    <row r="63" spans="1:9" x14ac:dyDescent="0.2">
      <c r="A63" s="364" t="s">
        <v>531</v>
      </c>
      <c r="B63" s="369">
        <f>+'Enrollment Assuptions'!D12</f>
        <v>475</v>
      </c>
      <c r="C63" s="364">
        <v>2095</v>
      </c>
      <c r="D63" s="364">
        <f>+B63*C63</f>
        <v>995125</v>
      </c>
      <c r="E63" s="359" t="s">
        <v>532</v>
      </c>
      <c r="F63" s="371"/>
      <c r="G63" s="358"/>
      <c r="H63" s="358"/>
      <c r="I63" s="358"/>
    </row>
    <row r="64" spans="1:9" x14ac:dyDescent="0.2">
      <c r="A64" s="364" t="s">
        <v>533</v>
      </c>
      <c r="B64" s="369">
        <f>+B63*H64</f>
        <v>13.76938849226585</v>
      </c>
      <c r="C64" s="364">
        <v>1474.6159124175751</v>
      </c>
      <c r="D64" s="364">
        <f t="shared" ref="D64:D73" si="1">+B64*C64</f>
        <v>20304.559374954668</v>
      </c>
      <c r="E64" s="359" t="s">
        <v>532</v>
      </c>
      <c r="F64" s="371"/>
      <c r="G64" s="358" t="s">
        <v>533</v>
      </c>
      <c r="H64" s="448">
        <v>2.8988186299507054E-2</v>
      </c>
      <c r="I64" s="638" t="s">
        <v>534</v>
      </c>
    </row>
    <row r="65" spans="1:9" x14ac:dyDescent="0.2">
      <c r="A65" s="364" t="s">
        <v>535</v>
      </c>
      <c r="B65" s="369">
        <f>+B63*H65</f>
        <v>36.27799379568247</v>
      </c>
      <c r="C65" s="364">
        <v>8663.368485453253</v>
      </c>
      <c r="D65" s="364">
        <f t="shared" si="1"/>
        <v>314289.62816498417</v>
      </c>
      <c r="E65" s="359" t="s">
        <v>532</v>
      </c>
      <c r="F65" s="371"/>
      <c r="G65" s="358" t="s">
        <v>535</v>
      </c>
      <c r="H65" s="448">
        <v>7.6374723780384152E-2</v>
      </c>
      <c r="I65" s="639"/>
    </row>
    <row r="66" spans="1:9" x14ac:dyDescent="0.2">
      <c r="A66" s="364" t="s">
        <v>536</v>
      </c>
      <c r="B66" s="369">
        <f>+B63*H66</f>
        <v>11.442025752167263</v>
      </c>
      <c r="C66" s="364">
        <v>13824.524178914766</v>
      </c>
      <c r="D66" s="364">
        <f t="shared" si="1"/>
        <v>158180.56166660174</v>
      </c>
      <c r="E66" s="359" t="s">
        <v>532</v>
      </c>
      <c r="F66" s="371"/>
      <c r="G66" s="358" t="s">
        <v>536</v>
      </c>
      <c r="H66" s="448">
        <v>2.4088475267720552E-2</v>
      </c>
      <c r="I66" s="639"/>
    </row>
    <row r="67" spans="1:9" x14ac:dyDescent="0.2">
      <c r="A67" s="364" t="s">
        <v>537</v>
      </c>
      <c r="B67" s="369">
        <f>+B63*H67</f>
        <v>2.4070945945945947</v>
      </c>
      <c r="C67" s="364">
        <v>16036.448047541127</v>
      </c>
      <c r="D67" s="364">
        <f t="shared" si="1"/>
        <v>38601.247411733289</v>
      </c>
      <c r="E67" s="359" t="s">
        <v>532</v>
      </c>
      <c r="F67" s="371"/>
      <c r="G67" s="358" t="s">
        <v>537</v>
      </c>
      <c r="H67" s="448">
        <v>5.0675675675675678E-3</v>
      </c>
      <c r="I67" s="639"/>
    </row>
    <row r="68" spans="1:9" x14ac:dyDescent="0.2">
      <c r="A68" s="364" t="s">
        <v>538</v>
      </c>
      <c r="B68" s="369">
        <f>+B63*H68</f>
        <v>6.3462519122896488</v>
      </c>
      <c r="C68" s="364">
        <v>22119.238686263627</v>
      </c>
      <c r="D68" s="364">
        <f t="shared" si="1"/>
        <v>140374.26081109172</v>
      </c>
      <c r="E68" s="359" t="s">
        <v>532</v>
      </c>
      <c r="F68" s="371"/>
      <c r="G68" s="358" t="s">
        <v>538</v>
      </c>
      <c r="H68" s="448">
        <v>1.3360530341662418E-2</v>
      </c>
      <c r="I68" s="639"/>
    </row>
    <row r="69" spans="1:9" x14ac:dyDescent="0.2">
      <c r="A69" s="364" t="s">
        <v>539</v>
      </c>
      <c r="B69" s="369">
        <f>+B63*H69</f>
        <v>11.723610402855686</v>
      </c>
      <c r="C69" s="364">
        <v>368.65397810439379</v>
      </c>
      <c r="D69" s="364">
        <f t="shared" si="1"/>
        <v>4321.955612758803</v>
      </c>
      <c r="E69" s="359" t="s">
        <v>532</v>
      </c>
      <c r="F69" s="371"/>
      <c r="G69" s="358" t="s">
        <v>539</v>
      </c>
      <c r="H69" s="448">
        <v>2.4681285058643549E-2</v>
      </c>
      <c r="I69" s="639"/>
    </row>
    <row r="70" spans="1:9" x14ac:dyDescent="0.2">
      <c r="A70" s="364" t="s">
        <v>12</v>
      </c>
      <c r="B70" s="369">
        <f>+B63*H70</f>
        <v>91.553363505014445</v>
      </c>
      <c r="C70" s="364">
        <v>2211.9238686263625</v>
      </c>
      <c r="D70" s="364">
        <f t="shared" si="1"/>
        <v>202509.06998976719</v>
      </c>
      <c r="E70" s="359" t="s">
        <v>532</v>
      </c>
      <c r="F70" s="371"/>
      <c r="G70" s="358" t="s">
        <v>12</v>
      </c>
      <c r="H70" s="448">
        <v>0.19274392316845146</v>
      </c>
      <c r="I70" s="639"/>
    </row>
    <row r="71" spans="1:9" x14ac:dyDescent="0.2">
      <c r="A71" s="364" t="s">
        <v>13</v>
      </c>
      <c r="B71" s="369">
        <f>+B63*H71</f>
        <v>6.9750233724290336</v>
      </c>
      <c r="C71" s="364">
        <v>1658.9429014697719</v>
      </c>
      <c r="D71" s="364">
        <f t="shared" si="1"/>
        <v>11571.165511276895</v>
      </c>
      <c r="E71" s="359" t="s">
        <v>532</v>
      </c>
      <c r="F71" s="371"/>
      <c r="G71" s="358" t="s">
        <v>13</v>
      </c>
      <c r="H71" s="448">
        <v>1.4684259731429544E-2</v>
      </c>
      <c r="I71" s="640"/>
    </row>
    <row r="72" spans="1:9" x14ac:dyDescent="0.2">
      <c r="A72" s="364" t="s">
        <v>540</v>
      </c>
      <c r="B72" s="369">
        <f>+B63</f>
        <v>475</v>
      </c>
      <c r="C72" s="364">
        <v>642.89065513553726</v>
      </c>
      <c r="D72" s="364">
        <f t="shared" si="1"/>
        <v>305373.06118938018</v>
      </c>
      <c r="E72" s="359" t="s">
        <v>532</v>
      </c>
      <c r="F72" s="371"/>
    </row>
    <row r="73" spans="1:9" x14ac:dyDescent="0.2">
      <c r="A73" s="364" t="s">
        <v>541</v>
      </c>
      <c r="B73" s="369">
        <f>+B63</f>
        <v>475</v>
      </c>
      <c r="C73" s="364">
        <v>5278</v>
      </c>
      <c r="D73" s="365">
        <f t="shared" si="1"/>
        <v>2507050</v>
      </c>
      <c r="E73" s="359" t="s">
        <v>542</v>
      </c>
      <c r="F73" s="371"/>
    </row>
    <row r="74" spans="1:9" x14ac:dyDescent="0.2">
      <c r="A74" s="364" t="s">
        <v>543</v>
      </c>
      <c r="B74" s="364"/>
      <c r="C74" s="364"/>
      <c r="D74" s="364">
        <f>SUM(D63:D73)</f>
        <v>4697700.5097325481</v>
      </c>
      <c r="E74" s="359"/>
      <c r="F74" s="371"/>
    </row>
    <row r="75" spans="1:9" x14ac:dyDescent="0.2">
      <c r="A75" s="364" t="s">
        <v>544</v>
      </c>
      <c r="B75" s="364"/>
      <c r="C75" s="364"/>
      <c r="D75" s="364"/>
      <c r="E75" s="359"/>
      <c r="F75" s="371"/>
    </row>
    <row r="76" spans="1:9" x14ac:dyDescent="0.2">
      <c r="A76" s="359" t="s">
        <v>545</v>
      </c>
      <c r="B76" s="359"/>
      <c r="C76" s="359"/>
      <c r="D76" s="366">
        <f>(SUM(D63:D72))*-2%</f>
        <v>-43813.010194650975</v>
      </c>
      <c r="E76" s="359" t="s">
        <v>532</v>
      </c>
      <c r="F76" s="371"/>
    </row>
    <row r="77" spans="1:9" x14ac:dyDescent="0.2">
      <c r="A77" s="359" t="s">
        <v>546</v>
      </c>
      <c r="B77" s="359"/>
      <c r="C77" s="359"/>
      <c r="D77" s="367">
        <f>(D73*-2%)</f>
        <v>-50141</v>
      </c>
      <c r="E77" s="359" t="s">
        <v>542</v>
      </c>
      <c r="F77" s="371"/>
    </row>
    <row r="78" spans="1:9" x14ac:dyDescent="0.2">
      <c r="A78" s="359" t="s">
        <v>547</v>
      </c>
      <c r="B78" s="359"/>
      <c r="C78" s="359"/>
      <c r="D78" s="368">
        <v>-4068.5</v>
      </c>
      <c r="E78" s="359" t="s">
        <v>532</v>
      </c>
      <c r="F78" s="371"/>
    </row>
    <row r="79" spans="1:9" x14ac:dyDescent="0.2">
      <c r="A79" s="359" t="s">
        <v>548</v>
      </c>
      <c r="B79" s="359"/>
      <c r="C79" s="359"/>
      <c r="D79" s="367">
        <v>-36392</v>
      </c>
      <c r="E79" s="359" t="s">
        <v>542</v>
      </c>
      <c r="F79" s="371"/>
    </row>
    <row r="80" spans="1:9" x14ac:dyDescent="0.2">
      <c r="A80" s="364" t="s">
        <v>549</v>
      </c>
      <c r="B80" s="364"/>
      <c r="C80" s="364"/>
      <c r="D80" s="364">
        <f>SUM(D74:D79)</f>
        <v>4563285.9995378973</v>
      </c>
      <c r="E80" s="359"/>
      <c r="F80" s="371"/>
    </row>
    <row r="81" spans="1:9" x14ac:dyDescent="0.2">
      <c r="A81" s="364" t="s">
        <v>550</v>
      </c>
      <c r="B81" s="364"/>
      <c r="C81" s="364"/>
      <c r="D81" s="364">
        <f>+D80/B63</f>
        <v>9606.9178937639936</v>
      </c>
      <c r="E81" s="359"/>
      <c r="F81" s="371"/>
    </row>
    <row r="82" spans="1:9" x14ac:dyDescent="0.2">
      <c r="A82" s="359"/>
      <c r="B82" s="359"/>
      <c r="C82" s="359"/>
      <c r="D82" s="359"/>
      <c r="E82" s="359"/>
      <c r="F82" s="371"/>
    </row>
    <row r="83" spans="1:9" x14ac:dyDescent="0.2">
      <c r="A83" s="359" t="s">
        <v>81</v>
      </c>
      <c r="B83" s="359"/>
      <c r="C83" s="359"/>
      <c r="D83" s="366">
        <f>+D73+D77+D79</f>
        <v>2420517</v>
      </c>
      <c r="E83" s="359"/>
      <c r="F83" s="371"/>
    </row>
    <row r="84" spans="1:9" x14ac:dyDescent="0.2">
      <c r="A84" s="359"/>
      <c r="B84" s="359"/>
      <c r="C84" s="359"/>
      <c r="D84" s="359"/>
      <c r="E84" s="359"/>
      <c r="F84" s="371"/>
    </row>
    <row r="85" spans="1:9" x14ac:dyDescent="0.2">
      <c r="A85" s="359" t="s">
        <v>102</v>
      </c>
      <c r="B85" s="359"/>
      <c r="C85" s="359"/>
      <c r="D85" s="366">
        <f>+D80-D83</f>
        <v>2142768.9995378973</v>
      </c>
      <c r="E85" s="359"/>
      <c r="F85" s="371"/>
    </row>
    <row r="86" spans="1:9" x14ac:dyDescent="0.2">
      <c r="A86" s="359"/>
      <c r="B86" s="359"/>
      <c r="C86" s="359"/>
      <c r="D86" s="359"/>
      <c r="E86" s="359"/>
      <c r="F86" s="371"/>
    </row>
    <row r="87" spans="1:9" x14ac:dyDescent="0.2">
      <c r="A87" s="359" t="s">
        <v>551</v>
      </c>
      <c r="B87" s="359"/>
      <c r="C87" s="359"/>
      <c r="D87" s="366">
        <f>+D83+D85</f>
        <v>4563285.9995378973</v>
      </c>
      <c r="E87" s="359"/>
      <c r="F87" s="371"/>
    </row>
    <row r="88" spans="1:9" x14ac:dyDescent="0.2">
      <c r="A88" s="359"/>
      <c r="B88" s="359"/>
      <c r="C88" s="359"/>
      <c r="D88" s="359"/>
      <c r="E88" s="359"/>
      <c r="F88" s="371"/>
      <c r="G88" s="374"/>
      <c r="H88" s="374"/>
      <c r="I88" s="374"/>
    </row>
    <row r="90" spans="1:9" x14ac:dyDescent="0.2">
      <c r="A90" s="641" t="s">
        <v>554</v>
      </c>
      <c r="B90" s="642"/>
      <c r="C90" s="642"/>
      <c r="D90" s="642"/>
      <c r="E90" s="643"/>
      <c r="F90" s="371"/>
    </row>
    <row r="91" spans="1:9" x14ac:dyDescent="0.2">
      <c r="A91" s="360" t="s">
        <v>521</v>
      </c>
      <c r="B91" s="350" t="s">
        <v>522</v>
      </c>
      <c r="C91" s="350"/>
      <c r="D91" s="350"/>
      <c r="E91" s="350"/>
      <c r="F91" s="372"/>
      <c r="G91" s="633" t="s">
        <v>523</v>
      </c>
      <c r="H91" s="633"/>
      <c r="I91" s="633"/>
    </row>
    <row r="92" spans="1:9" ht="38.25" x14ac:dyDescent="0.2">
      <c r="A92" s="361" t="s">
        <v>524</v>
      </c>
      <c r="B92" s="362" t="s">
        <v>525</v>
      </c>
      <c r="C92" s="363" t="s">
        <v>526</v>
      </c>
      <c r="D92" s="363" t="s">
        <v>527</v>
      </c>
      <c r="E92" s="370" t="s">
        <v>528</v>
      </c>
      <c r="F92" s="558"/>
      <c r="G92" s="373" t="s">
        <v>529</v>
      </c>
      <c r="H92" s="561" t="s">
        <v>530</v>
      </c>
      <c r="I92" s="373"/>
    </row>
    <row r="93" spans="1:9" x14ac:dyDescent="0.2">
      <c r="A93" s="364" t="s">
        <v>531</v>
      </c>
      <c r="B93" s="369">
        <f>+'Enrollment Assuptions'!E12</f>
        <v>500</v>
      </c>
      <c r="C93" s="364">
        <v>2095</v>
      </c>
      <c r="D93" s="364">
        <f>+B93*C93</f>
        <v>1047500</v>
      </c>
      <c r="E93" s="359" t="s">
        <v>532</v>
      </c>
      <c r="F93" s="371"/>
      <c r="G93" s="358"/>
      <c r="H93" s="358"/>
      <c r="I93" s="358"/>
    </row>
    <row r="94" spans="1:9" x14ac:dyDescent="0.2">
      <c r="A94" s="364" t="s">
        <v>533</v>
      </c>
      <c r="B94" s="369">
        <f>+B93*H94</f>
        <v>14.494093149753526</v>
      </c>
      <c r="C94" s="364">
        <v>1474.6159124175751</v>
      </c>
      <c r="D94" s="364">
        <f t="shared" ref="D94:D103" si="2">+B94*C94</f>
        <v>21373.22039468912</v>
      </c>
      <c r="E94" s="359" t="s">
        <v>532</v>
      </c>
      <c r="F94" s="371"/>
      <c r="G94" s="358" t="s">
        <v>533</v>
      </c>
      <c r="H94" s="448">
        <v>2.8988186299507054E-2</v>
      </c>
      <c r="I94" s="638" t="s">
        <v>534</v>
      </c>
    </row>
    <row r="95" spans="1:9" x14ac:dyDescent="0.2">
      <c r="A95" s="364" t="s">
        <v>535</v>
      </c>
      <c r="B95" s="369">
        <f>+B93*H95</f>
        <v>38.187361890192079</v>
      </c>
      <c r="C95" s="364">
        <v>8663.368485453253</v>
      </c>
      <c r="D95" s="364">
        <f t="shared" si="2"/>
        <v>330831.18754208862</v>
      </c>
      <c r="E95" s="359" t="s">
        <v>532</v>
      </c>
      <c r="F95" s="371"/>
      <c r="G95" s="358" t="s">
        <v>535</v>
      </c>
      <c r="H95" s="448">
        <v>7.6374723780384152E-2</v>
      </c>
      <c r="I95" s="639"/>
    </row>
    <row r="96" spans="1:9" x14ac:dyDescent="0.2">
      <c r="A96" s="364" t="s">
        <v>536</v>
      </c>
      <c r="B96" s="369">
        <f>+B93*H96</f>
        <v>12.044237633860275</v>
      </c>
      <c r="C96" s="364">
        <v>13824.524178914766</v>
      </c>
      <c r="D96" s="364">
        <f t="shared" si="2"/>
        <v>166505.85438589656</v>
      </c>
      <c r="E96" s="359" t="s">
        <v>532</v>
      </c>
      <c r="F96" s="371"/>
      <c r="G96" s="358" t="s">
        <v>536</v>
      </c>
      <c r="H96" s="448">
        <v>2.4088475267720552E-2</v>
      </c>
      <c r="I96" s="639"/>
    </row>
    <row r="97" spans="1:9" x14ac:dyDescent="0.2">
      <c r="A97" s="364" t="s">
        <v>537</v>
      </c>
      <c r="B97" s="369">
        <f>+B93*H97</f>
        <v>2.5337837837837838</v>
      </c>
      <c r="C97" s="364">
        <v>16036.448047541127</v>
      </c>
      <c r="D97" s="364">
        <f t="shared" si="2"/>
        <v>40632.892012350829</v>
      </c>
      <c r="E97" s="359" t="s">
        <v>532</v>
      </c>
      <c r="F97" s="371"/>
      <c r="G97" s="358" t="s">
        <v>537</v>
      </c>
      <c r="H97" s="448">
        <v>5.0675675675675678E-3</v>
      </c>
      <c r="I97" s="639"/>
    </row>
    <row r="98" spans="1:9" x14ac:dyDescent="0.2">
      <c r="A98" s="364" t="s">
        <v>538</v>
      </c>
      <c r="B98" s="369">
        <f>+B93*H98</f>
        <v>6.6802651708312091</v>
      </c>
      <c r="C98" s="364">
        <v>22119.238686263627</v>
      </c>
      <c r="D98" s="364">
        <f t="shared" si="2"/>
        <v>147762.37980114919</v>
      </c>
      <c r="E98" s="359" t="s">
        <v>532</v>
      </c>
      <c r="F98" s="371"/>
      <c r="G98" s="358" t="s">
        <v>538</v>
      </c>
      <c r="H98" s="448">
        <v>1.3360530341662418E-2</v>
      </c>
      <c r="I98" s="639"/>
    </row>
    <row r="99" spans="1:9" x14ac:dyDescent="0.2">
      <c r="A99" s="364" t="s">
        <v>539</v>
      </c>
      <c r="B99" s="369">
        <f>+B93*H99</f>
        <v>12.340642529321775</v>
      </c>
      <c r="C99" s="364">
        <v>368.65397810439379</v>
      </c>
      <c r="D99" s="364">
        <f t="shared" si="2"/>
        <v>4549.4269607987399</v>
      </c>
      <c r="E99" s="359" t="s">
        <v>532</v>
      </c>
      <c r="F99" s="371"/>
      <c r="G99" s="358" t="s">
        <v>539</v>
      </c>
      <c r="H99" s="448">
        <v>2.4681285058643549E-2</v>
      </c>
      <c r="I99" s="639"/>
    </row>
    <row r="100" spans="1:9" x14ac:dyDescent="0.2">
      <c r="A100" s="364" t="s">
        <v>12</v>
      </c>
      <c r="B100" s="369">
        <f>+B93*H100</f>
        <v>96.37196158422573</v>
      </c>
      <c r="C100" s="364">
        <v>2211.9238686263625</v>
      </c>
      <c r="D100" s="364">
        <f t="shared" si="2"/>
        <v>213167.44209449177</v>
      </c>
      <c r="E100" s="359" t="s">
        <v>532</v>
      </c>
      <c r="F100" s="371"/>
      <c r="G100" s="358" t="s">
        <v>12</v>
      </c>
      <c r="H100" s="448">
        <v>0.19274392316845146</v>
      </c>
      <c r="I100" s="639"/>
    </row>
    <row r="101" spans="1:9" x14ac:dyDescent="0.2">
      <c r="A101" s="364" t="s">
        <v>13</v>
      </c>
      <c r="B101" s="369">
        <f>+B93*H101</f>
        <v>7.3421298657147718</v>
      </c>
      <c r="C101" s="364">
        <v>1658.9429014697719</v>
      </c>
      <c r="D101" s="364">
        <f t="shared" si="2"/>
        <v>12180.17422239673</v>
      </c>
      <c r="E101" s="359" t="s">
        <v>532</v>
      </c>
      <c r="F101" s="371"/>
      <c r="G101" s="358" t="s">
        <v>13</v>
      </c>
      <c r="H101" s="448">
        <v>1.4684259731429544E-2</v>
      </c>
      <c r="I101" s="640"/>
    </row>
    <row r="102" spans="1:9" x14ac:dyDescent="0.2">
      <c r="A102" s="364" t="s">
        <v>540</v>
      </c>
      <c r="B102" s="369">
        <f>+B93</f>
        <v>500</v>
      </c>
      <c r="C102" s="364">
        <v>642.89065513553726</v>
      </c>
      <c r="D102" s="364">
        <f t="shared" si="2"/>
        <v>321445.32756776863</v>
      </c>
      <c r="E102" s="359" t="s">
        <v>532</v>
      </c>
      <c r="F102" s="371"/>
    </row>
    <row r="103" spans="1:9" x14ac:dyDescent="0.2">
      <c r="A103" s="364" t="s">
        <v>541</v>
      </c>
      <c r="B103" s="369">
        <f>+B93</f>
        <v>500</v>
      </c>
      <c r="C103" s="364">
        <v>5278</v>
      </c>
      <c r="D103" s="365">
        <f t="shared" si="2"/>
        <v>2639000</v>
      </c>
      <c r="E103" s="359" t="s">
        <v>542</v>
      </c>
      <c r="F103" s="371"/>
    </row>
    <row r="104" spans="1:9" x14ac:dyDescent="0.2">
      <c r="A104" s="364" t="s">
        <v>543</v>
      </c>
      <c r="B104" s="364"/>
      <c r="C104" s="364"/>
      <c r="D104" s="364">
        <f>SUM(D93:D103)</f>
        <v>4944947.9049816299</v>
      </c>
      <c r="E104" s="359"/>
      <c r="F104" s="371"/>
    </row>
    <row r="105" spans="1:9" x14ac:dyDescent="0.2">
      <c r="A105" s="364" t="s">
        <v>544</v>
      </c>
      <c r="B105" s="364"/>
      <c r="C105" s="364"/>
      <c r="D105" s="364"/>
      <c r="E105" s="359"/>
      <c r="F105" s="371"/>
    </row>
    <row r="106" spans="1:9" x14ac:dyDescent="0.2">
      <c r="A106" s="359" t="s">
        <v>545</v>
      </c>
      <c r="B106" s="359"/>
      <c r="C106" s="359"/>
      <c r="D106" s="366">
        <f>(SUM(D93:D102))*-2%</f>
        <v>-46118.958099632597</v>
      </c>
      <c r="E106" s="359" t="s">
        <v>532</v>
      </c>
      <c r="F106" s="371"/>
    </row>
    <row r="107" spans="1:9" x14ac:dyDescent="0.2">
      <c r="A107" s="359" t="s">
        <v>546</v>
      </c>
      <c r="B107" s="359"/>
      <c r="C107" s="359"/>
      <c r="D107" s="367">
        <f>(D103*-2%)</f>
        <v>-52780</v>
      </c>
      <c r="E107" s="359" t="s">
        <v>542</v>
      </c>
      <c r="F107" s="371"/>
    </row>
    <row r="108" spans="1:9" x14ac:dyDescent="0.2">
      <c r="A108" s="359" t="s">
        <v>547</v>
      </c>
      <c r="B108" s="359"/>
      <c r="C108" s="359"/>
      <c r="D108" s="368">
        <v>-4068.5</v>
      </c>
      <c r="E108" s="359" t="s">
        <v>532</v>
      </c>
      <c r="F108" s="371"/>
    </row>
    <row r="109" spans="1:9" x14ac:dyDescent="0.2">
      <c r="A109" s="359" t="s">
        <v>548</v>
      </c>
      <c r="B109" s="359"/>
      <c r="C109" s="359"/>
      <c r="D109" s="367">
        <v>-36392</v>
      </c>
      <c r="E109" s="359" t="s">
        <v>542</v>
      </c>
      <c r="F109" s="371"/>
    </row>
    <row r="110" spans="1:9" x14ac:dyDescent="0.2">
      <c r="A110" s="364" t="s">
        <v>549</v>
      </c>
      <c r="B110" s="364"/>
      <c r="C110" s="364"/>
      <c r="D110" s="364">
        <f>SUM(D104:D109)</f>
        <v>4805588.4468819974</v>
      </c>
      <c r="E110" s="359"/>
      <c r="F110" s="371"/>
    </row>
    <row r="111" spans="1:9" x14ac:dyDescent="0.2">
      <c r="A111" s="364" t="s">
        <v>550</v>
      </c>
      <c r="B111" s="364"/>
      <c r="C111" s="364"/>
      <c r="D111" s="364">
        <f>+D110/B93</f>
        <v>9611.1768937639954</v>
      </c>
      <c r="E111" s="359"/>
      <c r="F111" s="371"/>
    </row>
    <row r="112" spans="1:9" x14ac:dyDescent="0.2">
      <c r="A112" s="359"/>
      <c r="B112" s="359"/>
      <c r="C112" s="359"/>
      <c r="D112" s="359"/>
      <c r="E112" s="359"/>
      <c r="F112" s="371"/>
    </row>
    <row r="113" spans="1:9" x14ac:dyDescent="0.2">
      <c r="A113" s="359" t="s">
        <v>81</v>
      </c>
      <c r="B113" s="359"/>
      <c r="C113" s="359"/>
      <c r="D113" s="366">
        <f>+D103+D107+D109</f>
        <v>2549828</v>
      </c>
      <c r="E113" s="359"/>
      <c r="F113" s="371"/>
    </row>
    <row r="114" spans="1:9" x14ac:dyDescent="0.2">
      <c r="A114" s="359"/>
      <c r="B114" s="359"/>
      <c r="C114" s="359"/>
      <c r="D114" s="359"/>
      <c r="E114" s="359"/>
      <c r="F114" s="371"/>
    </row>
    <row r="115" spans="1:9" x14ac:dyDescent="0.2">
      <c r="A115" s="359" t="s">
        <v>102</v>
      </c>
      <c r="B115" s="359"/>
      <c r="C115" s="359"/>
      <c r="D115" s="366">
        <f>+D110-D113</f>
        <v>2255760.4468819974</v>
      </c>
      <c r="E115" s="359"/>
      <c r="F115" s="371"/>
    </row>
    <row r="116" spans="1:9" x14ac:dyDescent="0.2">
      <c r="A116" s="359"/>
      <c r="B116" s="359"/>
      <c r="C116" s="359"/>
      <c r="D116" s="359"/>
      <c r="E116" s="359"/>
      <c r="F116" s="371"/>
    </row>
    <row r="117" spans="1:9" x14ac:dyDescent="0.2">
      <c r="A117" s="359" t="s">
        <v>551</v>
      </c>
      <c r="B117" s="359"/>
      <c r="C117" s="359"/>
      <c r="D117" s="366">
        <f>+D113+D115</f>
        <v>4805588.4468819974</v>
      </c>
      <c r="E117" s="359"/>
      <c r="F117" s="371"/>
    </row>
    <row r="118" spans="1:9" x14ac:dyDescent="0.2">
      <c r="A118" s="359"/>
      <c r="B118" s="359"/>
      <c r="C118" s="359"/>
      <c r="D118" s="359"/>
      <c r="E118" s="359"/>
      <c r="F118" s="371"/>
      <c r="G118" s="374"/>
      <c r="H118" s="374"/>
      <c r="I118" s="374"/>
    </row>
    <row r="120" spans="1:9" x14ac:dyDescent="0.2">
      <c r="A120" s="641" t="s">
        <v>555</v>
      </c>
      <c r="B120" s="642"/>
      <c r="C120" s="642"/>
      <c r="D120" s="642"/>
      <c r="E120" s="643"/>
      <c r="F120" s="371"/>
    </row>
    <row r="121" spans="1:9" x14ac:dyDescent="0.2">
      <c r="A121" s="360" t="s">
        <v>521</v>
      </c>
      <c r="B121" s="350" t="s">
        <v>522</v>
      </c>
      <c r="C121" s="350"/>
      <c r="D121" s="350"/>
      <c r="E121" s="350"/>
      <c r="F121" s="372"/>
      <c r="G121" s="633" t="s">
        <v>523</v>
      </c>
      <c r="H121" s="633"/>
      <c r="I121" s="633"/>
    </row>
    <row r="122" spans="1:9" ht="38.25" x14ac:dyDescent="0.2">
      <c r="A122" s="361" t="s">
        <v>524</v>
      </c>
      <c r="B122" s="362" t="s">
        <v>525</v>
      </c>
      <c r="C122" s="363" t="s">
        <v>526</v>
      </c>
      <c r="D122" s="363" t="s">
        <v>527</v>
      </c>
      <c r="E122" s="370" t="s">
        <v>528</v>
      </c>
      <c r="F122" s="558"/>
      <c r="G122" s="373" t="s">
        <v>529</v>
      </c>
      <c r="H122" s="561" t="s">
        <v>530</v>
      </c>
      <c r="I122" s="373"/>
    </row>
    <row r="123" spans="1:9" x14ac:dyDescent="0.2">
      <c r="A123" s="364" t="s">
        <v>531</v>
      </c>
      <c r="B123" s="369">
        <f>'Enrollment Assuptions'!F12</f>
        <v>525</v>
      </c>
      <c r="C123" s="364">
        <v>2095</v>
      </c>
      <c r="D123" s="364">
        <f>+B123*C123</f>
        <v>1099875</v>
      </c>
      <c r="E123" s="359" t="s">
        <v>532</v>
      </c>
      <c r="F123" s="371"/>
      <c r="G123" s="358"/>
      <c r="H123" s="358"/>
      <c r="I123" s="358"/>
    </row>
    <row r="124" spans="1:9" x14ac:dyDescent="0.2">
      <c r="A124" s="364" t="s">
        <v>533</v>
      </c>
      <c r="B124" s="369">
        <f>+B123*H124</f>
        <v>15.218797807241204</v>
      </c>
      <c r="C124" s="364">
        <v>1474.6159124175751</v>
      </c>
      <c r="D124" s="364">
        <f t="shared" ref="D124:D133" si="3">+B124*C124</f>
        <v>22441.88141442358</v>
      </c>
      <c r="E124" s="359" t="s">
        <v>532</v>
      </c>
      <c r="F124" s="371"/>
      <c r="G124" s="358" t="s">
        <v>533</v>
      </c>
      <c r="H124" s="448">
        <v>2.8988186299507054E-2</v>
      </c>
      <c r="I124" s="638" t="s">
        <v>534</v>
      </c>
    </row>
    <row r="125" spans="1:9" x14ac:dyDescent="0.2">
      <c r="A125" s="364" t="s">
        <v>535</v>
      </c>
      <c r="B125" s="369">
        <f>+B123*H125</f>
        <v>40.096729984701682</v>
      </c>
      <c r="C125" s="364">
        <v>8663.368485453253</v>
      </c>
      <c r="D125" s="364">
        <f t="shared" si="3"/>
        <v>347372.74691919307</v>
      </c>
      <c r="E125" s="359" t="s">
        <v>532</v>
      </c>
      <c r="F125" s="371"/>
      <c r="G125" s="358" t="s">
        <v>535</v>
      </c>
      <c r="H125" s="448">
        <v>7.6374723780384152E-2</v>
      </c>
      <c r="I125" s="639"/>
    </row>
    <row r="126" spans="1:9" x14ac:dyDescent="0.2">
      <c r="A126" s="364" t="s">
        <v>536</v>
      </c>
      <c r="B126" s="369">
        <f>+B123*H126</f>
        <v>12.646449515553289</v>
      </c>
      <c r="C126" s="364">
        <v>13824.524178914766</v>
      </c>
      <c r="D126" s="364">
        <f t="shared" si="3"/>
        <v>174831.14710519137</v>
      </c>
      <c r="E126" s="359" t="s">
        <v>532</v>
      </c>
      <c r="F126" s="371"/>
      <c r="G126" s="358" t="s">
        <v>536</v>
      </c>
      <c r="H126" s="448">
        <v>2.4088475267720552E-2</v>
      </c>
      <c r="I126" s="639"/>
    </row>
    <row r="127" spans="1:9" x14ac:dyDescent="0.2">
      <c r="A127" s="364" t="s">
        <v>537</v>
      </c>
      <c r="B127" s="369">
        <f>+B123*H127</f>
        <v>2.6604729729729732</v>
      </c>
      <c r="C127" s="364">
        <v>16036.448047541127</v>
      </c>
      <c r="D127" s="364">
        <f t="shared" si="3"/>
        <v>42664.536612968375</v>
      </c>
      <c r="E127" s="359" t="s">
        <v>532</v>
      </c>
      <c r="F127" s="371"/>
      <c r="G127" s="358" t="s">
        <v>537</v>
      </c>
      <c r="H127" s="448">
        <v>5.0675675675675678E-3</v>
      </c>
      <c r="I127" s="639"/>
    </row>
    <row r="128" spans="1:9" x14ac:dyDescent="0.2">
      <c r="A128" s="364" t="s">
        <v>538</v>
      </c>
      <c r="B128" s="369">
        <f>+B123*H128</f>
        <v>7.0142784293727694</v>
      </c>
      <c r="C128" s="364">
        <v>22119.238686263627</v>
      </c>
      <c r="D128" s="364">
        <f t="shared" si="3"/>
        <v>155150.49879120663</v>
      </c>
      <c r="E128" s="359" t="s">
        <v>532</v>
      </c>
      <c r="F128" s="371"/>
      <c r="G128" s="358" t="s">
        <v>538</v>
      </c>
      <c r="H128" s="448">
        <v>1.3360530341662418E-2</v>
      </c>
      <c r="I128" s="639"/>
    </row>
    <row r="129" spans="1:9" x14ac:dyDescent="0.2">
      <c r="A129" s="364" t="s">
        <v>539</v>
      </c>
      <c r="B129" s="369">
        <f>+B123*H129</f>
        <v>12.957674655787864</v>
      </c>
      <c r="C129" s="364">
        <v>368.65397810439379</v>
      </c>
      <c r="D129" s="364">
        <f t="shared" si="3"/>
        <v>4776.8983088386776</v>
      </c>
      <c r="E129" s="359" t="s">
        <v>532</v>
      </c>
      <c r="F129" s="371"/>
      <c r="G129" s="358" t="s">
        <v>539</v>
      </c>
      <c r="H129" s="448">
        <v>2.4681285058643549E-2</v>
      </c>
      <c r="I129" s="639"/>
    </row>
    <row r="130" spans="1:9" x14ac:dyDescent="0.2">
      <c r="A130" s="364" t="s">
        <v>12</v>
      </c>
      <c r="B130" s="369">
        <f>+B123*H130</f>
        <v>101.19055966343701</v>
      </c>
      <c r="C130" s="364">
        <v>2211.9238686263625</v>
      </c>
      <c r="D130" s="364">
        <f t="shared" si="3"/>
        <v>223825.81419921634</v>
      </c>
      <c r="E130" s="359" t="s">
        <v>532</v>
      </c>
      <c r="F130" s="371"/>
      <c r="G130" s="358" t="s">
        <v>12</v>
      </c>
      <c r="H130" s="448">
        <v>0.19274392316845146</v>
      </c>
      <c r="I130" s="639"/>
    </row>
    <row r="131" spans="1:9" x14ac:dyDescent="0.2">
      <c r="A131" s="364" t="s">
        <v>13</v>
      </c>
      <c r="B131" s="369">
        <f>+B123*H131</f>
        <v>7.70923635900051</v>
      </c>
      <c r="C131" s="364">
        <v>1658.9429014697719</v>
      </c>
      <c r="D131" s="364">
        <f t="shared" si="3"/>
        <v>12789.182933516566</v>
      </c>
      <c r="E131" s="359" t="s">
        <v>532</v>
      </c>
      <c r="F131" s="371"/>
      <c r="G131" s="358" t="s">
        <v>13</v>
      </c>
      <c r="H131" s="448">
        <v>1.4684259731429544E-2</v>
      </c>
      <c r="I131" s="640"/>
    </row>
    <row r="132" spans="1:9" x14ac:dyDescent="0.2">
      <c r="A132" s="364" t="s">
        <v>540</v>
      </c>
      <c r="B132" s="369">
        <f>+B123</f>
        <v>525</v>
      </c>
      <c r="C132" s="364">
        <v>642.89065513553726</v>
      </c>
      <c r="D132" s="364">
        <f t="shared" si="3"/>
        <v>337517.59394615708</v>
      </c>
      <c r="E132" s="359" t="s">
        <v>532</v>
      </c>
      <c r="F132" s="371"/>
    </row>
    <row r="133" spans="1:9" x14ac:dyDescent="0.2">
      <c r="A133" s="364" t="s">
        <v>541</v>
      </c>
      <c r="B133" s="369">
        <f>+B123</f>
        <v>525</v>
      </c>
      <c r="C133" s="364">
        <v>5278</v>
      </c>
      <c r="D133" s="365">
        <f t="shared" si="3"/>
        <v>2770950</v>
      </c>
      <c r="E133" s="359" t="s">
        <v>542</v>
      </c>
      <c r="F133" s="371"/>
    </row>
    <row r="134" spans="1:9" x14ac:dyDescent="0.2">
      <c r="A134" s="364" t="s">
        <v>543</v>
      </c>
      <c r="B134" s="364"/>
      <c r="C134" s="364"/>
      <c r="D134" s="364">
        <f>SUM(D123:D133)</f>
        <v>5192195.3002307117</v>
      </c>
      <c r="E134" s="359"/>
      <c r="F134" s="371"/>
    </row>
    <row r="135" spans="1:9" x14ac:dyDescent="0.2">
      <c r="A135" s="364" t="s">
        <v>544</v>
      </c>
      <c r="B135" s="364"/>
      <c r="C135" s="364"/>
      <c r="D135" s="364"/>
      <c r="E135" s="359"/>
      <c r="F135" s="371"/>
    </row>
    <row r="136" spans="1:9" x14ac:dyDescent="0.2">
      <c r="A136" s="359" t="s">
        <v>545</v>
      </c>
      <c r="B136" s="359"/>
      <c r="C136" s="359"/>
      <c r="D136" s="366">
        <f>(SUM(D123:D132))*-2%</f>
        <v>-48424.906004614248</v>
      </c>
      <c r="E136" s="359" t="s">
        <v>532</v>
      </c>
      <c r="F136" s="371"/>
    </row>
    <row r="137" spans="1:9" x14ac:dyDescent="0.2">
      <c r="A137" s="359" t="s">
        <v>546</v>
      </c>
      <c r="B137" s="359"/>
      <c r="C137" s="359"/>
      <c r="D137" s="367">
        <f>(D133*-2%)</f>
        <v>-55419</v>
      </c>
      <c r="E137" s="359" t="s">
        <v>542</v>
      </c>
      <c r="F137" s="371"/>
    </row>
    <row r="138" spans="1:9" x14ac:dyDescent="0.2">
      <c r="A138" s="359" t="s">
        <v>547</v>
      </c>
      <c r="B138" s="359"/>
      <c r="C138" s="359"/>
      <c r="D138" s="368">
        <v>-4068.5</v>
      </c>
      <c r="E138" s="359" t="s">
        <v>532</v>
      </c>
      <c r="F138" s="371"/>
    </row>
    <row r="139" spans="1:9" x14ac:dyDescent="0.2">
      <c r="A139" s="359" t="s">
        <v>548</v>
      </c>
      <c r="B139" s="359"/>
      <c r="C139" s="359"/>
      <c r="D139" s="367">
        <v>-36392</v>
      </c>
      <c r="E139" s="359" t="s">
        <v>542</v>
      </c>
      <c r="F139" s="371"/>
    </row>
    <row r="140" spans="1:9" x14ac:dyDescent="0.2">
      <c r="A140" s="364" t="s">
        <v>549</v>
      </c>
      <c r="B140" s="364"/>
      <c r="C140" s="364"/>
      <c r="D140" s="364">
        <f>SUM(D134:D139)</f>
        <v>5047890.8942260975</v>
      </c>
      <c r="E140" s="359"/>
      <c r="F140" s="371"/>
    </row>
    <row r="141" spans="1:9" x14ac:dyDescent="0.2">
      <c r="A141" s="364" t="s">
        <v>550</v>
      </c>
      <c r="B141" s="364"/>
      <c r="C141" s="364"/>
      <c r="D141" s="364">
        <f>+D140/B123</f>
        <v>9615.0302747163769</v>
      </c>
      <c r="E141" s="359"/>
      <c r="F141" s="371"/>
    </row>
    <row r="142" spans="1:9" x14ac:dyDescent="0.2">
      <c r="A142" s="359"/>
      <c r="B142" s="359"/>
      <c r="C142" s="359"/>
      <c r="D142" s="359"/>
      <c r="E142" s="359"/>
      <c r="F142" s="371"/>
    </row>
    <row r="143" spans="1:9" x14ac:dyDescent="0.2">
      <c r="A143" s="359" t="s">
        <v>81</v>
      </c>
      <c r="B143" s="359"/>
      <c r="C143" s="359"/>
      <c r="D143" s="366">
        <f>+D133+D137+D139</f>
        <v>2679139</v>
      </c>
      <c r="E143" s="359"/>
      <c r="F143" s="371"/>
    </row>
    <row r="144" spans="1:9" x14ac:dyDescent="0.2">
      <c r="A144" s="359"/>
      <c r="B144" s="359"/>
      <c r="C144" s="359"/>
      <c r="D144" s="359"/>
      <c r="E144" s="359"/>
      <c r="F144" s="371"/>
    </row>
    <row r="145" spans="1:9" x14ac:dyDescent="0.2">
      <c r="A145" s="359" t="s">
        <v>102</v>
      </c>
      <c r="B145" s="359"/>
      <c r="C145" s="359"/>
      <c r="D145" s="366">
        <f>+D140-D143</f>
        <v>2368751.8942260975</v>
      </c>
      <c r="E145" s="359"/>
      <c r="F145" s="371"/>
    </row>
    <row r="146" spans="1:9" x14ac:dyDescent="0.2">
      <c r="A146" s="359"/>
      <c r="B146" s="359"/>
      <c r="C146" s="359"/>
      <c r="D146" s="359"/>
      <c r="E146" s="359"/>
      <c r="F146" s="371"/>
    </row>
    <row r="147" spans="1:9" x14ac:dyDescent="0.2">
      <c r="A147" s="359" t="s">
        <v>551</v>
      </c>
      <c r="B147" s="359"/>
      <c r="C147" s="359"/>
      <c r="D147" s="366">
        <f>+D143+D145</f>
        <v>5047890.8942260975</v>
      </c>
      <c r="E147" s="359"/>
      <c r="F147" s="371"/>
    </row>
    <row r="148" spans="1:9" x14ac:dyDescent="0.2">
      <c r="A148" s="359"/>
      <c r="B148" s="359"/>
      <c r="C148" s="359"/>
      <c r="D148" s="359"/>
      <c r="E148" s="359"/>
      <c r="F148" s="371"/>
      <c r="G148" s="374"/>
      <c r="H148" s="374"/>
      <c r="I148" s="374"/>
    </row>
  </sheetData>
  <mergeCells count="15">
    <mergeCell ref="A60:E60"/>
    <mergeCell ref="G61:I61"/>
    <mergeCell ref="G121:I121"/>
    <mergeCell ref="I124:I131"/>
    <mergeCell ref="I64:I71"/>
    <mergeCell ref="A90:E90"/>
    <mergeCell ref="G91:I91"/>
    <mergeCell ref="I94:I101"/>
    <mergeCell ref="A120:E120"/>
    <mergeCell ref="I5:I12"/>
    <mergeCell ref="G2:I2"/>
    <mergeCell ref="A1:E1"/>
    <mergeCell ref="I34:I41"/>
    <mergeCell ref="G31:I31"/>
    <mergeCell ref="A30:E30"/>
  </mergeCells>
  <pageMargins left="0.7" right="0.7" top="0.75" bottom="0.75" header="0.3" footer="0.3"/>
  <pageSetup scale="9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topLeftCell="A2" zoomScaleNormal="100" workbookViewId="0">
      <selection activeCell="C21" sqref="C21"/>
    </sheetView>
  </sheetViews>
  <sheetFormatPr defaultRowHeight="12.75" x14ac:dyDescent="0.2"/>
  <sheetData>
    <row r="1" spans="1:6" ht="45.75" customHeight="1" x14ac:dyDescent="0.2">
      <c r="A1" s="644" t="s">
        <v>556</v>
      </c>
      <c r="B1" s="644"/>
      <c r="C1" s="644"/>
      <c r="D1" s="644"/>
      <c r="E1" s="644"/>
      <c r="F1" s="644"/>
    </row>
    <row r="2" spans="1:6" x14ac:dyDescent="0.2">
      <c r="A2" s="355" t="s">
        <v>422</v>
      </c>
      <c r="B2" s="356" t="s">
        <v>557</v>
      </c>
      <c r="C2" s="356" t="s">
        <v>558</v>
      </c>
      <c r="D2" s="356" t="s">
        <v>559</v>
      </c>
      <c r="E2" s="356" t="s">
        <v>560</v>
      </c>
      <c r="F2" s="356" t="s">
        <v>561</v>
      </c>
    </row>
    <row r="3" spans="1:6" x14ac:dyDescent="0.2">
      <c r="A3" s="357" t="s">
        <v>464</v>
      </c>
      <c r="B3" s="358">
        <v>40</v>
      </c>
      <c r="C3" s="358">
        <v>50</v>
      </c>
      <c r="D3" s="358">
        <v>50</v>
      </c>
      <c r="E3" s="358">
        <v>50</v>
      </c>
      <c r="F3" s="358">
        <v>52</v>
      </c>
    </row>
    <row r="4" spans="1:6" x14ac:dyDescent="0.2">
      <c r="A4" s="357">
        <v>1</v>
      </c>
      <c r="B4" s="358">
        <v>40</v>
      </c>
      <c r="C4" s="358">
        <v>50</v>
      </c>
      <c r="D4" s="358">
        <v>50</v>
      </c>
      <c r="E4" s="358">
        <v>50</v>
      </c>
      <c r="F4" s="358">
        <v>52</v>
      </c>
    </row>
    <row r="5" spans="1:6" x14ac:dyDescent="0.2">
      <c r="A5" s="357">
        <v>2</v>
      </c>
      <c r="B5" s="358">
        <v>45</v>
      </c>
      <c r="C5" s="358">
        <v>50</v>
      </c>
      <c r="D5" s="358">
        <v>50</v>
      </c>
      <c r="E5" s="358">
        <v>50</v>
      </c>
      <c r="F5" s="358">
        <v>52</v>
      </c>
    </row>
    <row r="6" spans="1:6" x14ac:dyDescent="0.2">
      <c r="A6" s="357">
        <v>3</v>
      </c>
      <c r="B6" s="358">
        <v>50</v>
      </c>
      <c r="C6" s="358">
        <v>50</v>
      </c>
      <c r="D6" s="358">
        <v>50</v>
      </c>
      <c r="E6" s="358">
        <v>50</v>
      </c>
      <c r="F6" s="358">
        <v>52</v>
      </c>
    </row>
    <row r="7" spans="1:6" x14ac:dyDescent="0.2">
      <c r="A7" s="357">
        <v>4</v>
      </c>
      <c r="B7" s="358">
        <v>50</v>
      </c>
      <c r="C7" s="358">
        <v>50</v>
      </c>
      <c r="D7" s="358">
        <v>55</v>
      </c>
      <c r="E7" s="358">
        <v>60</v>
      </c>
      <c r="F7" s="358">
        <v>65</v>
      </c>
    </row>
    <row r="8" spans="1:6" x14ac:dyDescent="0.2">
      <c r="A8" s="357">
        <v>5</v>
      </c>
      <c r="B8" s="358">
        <v>50</v>
      </c>
      <c r="C8" s="358">
        <v>50</v>
      </c>
      <c r="D8" s="358">
        <v>55</v>
      </c>
      <c r="E8" s="358">
        <v>60</v>
      </c>
      <c r="F8" s="358">
        <v>65</v>
      </c>
    </row>
    <row r="9" spans="1:6" x14ac:dyDescent="0.2">
      <c r="A9" s="357">
        <v>6</v>
      </c>
      <c r="B9" s="358">
        <v>50</v>
      </c>
      <c r="C9" s="358">
        <v>50</v>
      </c>
      <c r="D9" s="358">
        <v>55</v>
      </c>
      <c r="E9" s="358">
        <v>60</v>
      </c>
      <c r="F9" s="358">
        <v>65</v>
      </c>
    </row>
    <row r="10" spans="1:6" x14ac:dyDescent="0.2">
      <c r="A10" s="357">
        <v>7</v>
      </c>
      <c r="B10" s="358">
        <v>50</v>
      </c>
      <c r="C10" s="358">
        <v>50</v>
      </c>
      <c r="D10" s="358">
        <v>55</v>
      </c>
      <c r="E10" s="358">
        <v>60</v>
      </c>
      <c r="F10" s="358">
        <v>62</v>
      </c>
    </row>
    <row r="11" spans="1:6" x14ac:dyDescent="0.2">
      <c r="A11" s="357">
        <v>8</v>
      </c>
      <c r="B11" s="358">
        <v>50</v>
      </c>
      <c r="C11" s="358">
        <v>50</v>
      </c>
      <c r="D11" s="358">
        <v>55</v>
      </c>
      <c r="E11" s="358">
        <v>60</v>
      </c>
      <c r="F11" s="358">
        <v>60</v>
      </c>
    </row>
    <row r="12" spans="1:6" x14ac:dyDescent="0.2">
      <c r="A12" s="357"/>
      <c r="B12" s="358">
        <f>SUM(B3:B11)</f>
        <v>425</v>
      </c>
      <c r="C12" s="358">
        <f>SUM(C3:C11)</f>
        <v>450</v>
      </c>
      <c r="D12" s="358">
        <f>SUM(D3:D11)</f>
        <v>475</v>
      </c>
      <c r="E12" s="358">
        <f>SUM(E3:E11)</f>
        <v>500</v>
      </c>
      <c r="F12" s="358">
        <f>SUM(F3:F11)</f>
        <v>525</v>
      </c>
    </row>
  </sheetData>
  <mergeCells count="1">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Instructions</vt:lpstr>
      <vt:lpstr>Startup Statement of Activities</vt:lpstr>
      <vt:lpstr>Yr 1 Operating Statement of Act</vt:lpstr>
      <vt:lpstr>Operating Statement of Act</vt:lpstr>
      <vt:lpstr>Year 1 Cash Flow Projection</vt:lpstr>
      <vt:lpstr>Staffing Assumptions</vt:lpstr>
      <vt:lpstr>Rev &amp; Exp Assumptions</vt:lpstr>
      <vt:lpstr>MFP Assumptions</vt:lpstr>
      <vt:lpstr>Enrollment Assuptions</vt:lpstr>
      <vt:lpstr>'Staffing Assumptions'!Print_Area</vt:lpstr>
      <vt:lpstr>'Startup Statement of Activities'!Print_Area</vt:lpstr>
      <vt:lpstr>'Year 1 Cash Flow Projection'!Print_Area</vt:lpstr>
      <vt:lpstr>'Yr 1 Operating Statement of Act'!Print_Area</vt:lpstr>
      <vt:lpstr>'Operating Statement of Act'!Print_Titles</vt:lpstr>
      <vt:lpstr>'Year 1 Cash Flow Projection'!Print_Titles</vt:lpstr>
      <vt:lpstr>'Yr 1 Operating Statement of Act'!Print_Titles</vt:lpstr>
    </vt:vector>
  </TitlesOfParts>
  <Manager/>
  <Company>doe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pmatherne</dc:creator>
  <cp:keywords/>
  <dc:description/>
  <cp:lastModifiedBy>James</cp:lastModifiedBy>
  <cp:revision/>
  <dcterms:created xsi:type="dcterms:W3CDTF">2004-02-11T17:37:54Z</dcterms:created>
  <dcterms:modified xsi:type="dcterms:W3CDTF">2018-02-21T16:29:13Z</dcterms:modified>
  <cp:category/>
  <cp:contentStatus/>
</cp:coreProperties>
</file>