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autoCompressPictures="0" defaultThemeVersion="124226"/>
  <bookViews>
    <workbookView xWindow="0" yWindow="0" windowWidth="28800" windowHeight="11610"/>
  </bookViews>
  <sheets>
    <sheet name="Annual FY17-18" sheetId="1" r:id="rId1"/>
    <sheet name="CSPC Indicators" sheetId="3" r:id="rId2"/>
  </sheets>
  <definedNames>
    <definedName name="_xlnm.Print_Area" localSheetId="0">'Annual FY17-18'!$A$1:$N$154</definedName>
    <definedName name="_xlnm.Print_Area" localSheetId="1">'CSPC Indicators'!$A$1:$E$21</definedName>
    <definedName name="Print_Area_MI" localSheetId="1">'CSPC Indicators'!#REF!</definedName>
    <definedName name="Print_Area_MI">'Annual FY17-18'!#REF!</definedName>
    <definedName name="_xlnm.Print_Titles" localSheetId="0">'Annual FY17-18'!$1:$11</definedName>
    <definedName name="_xlnm.Print_Titles" localSheetId="1">'CSPC Indicators'!$1:$11</definedName>
    <definedName name="Print_Titles_MI" localSheetId="1">'CSPC Indicators'!$1:$11</definedName>
    <definedName name="Print_Titles_MI">'Annual FY17-18'!$1:$11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6" i="1" l="1"/>
  <c r="I100" i="1"/>
  <c r="I99" i="1"/>
  <c r="I98" i="1"/>
  <c r="I94" i="1"/>
  <c r="I64" i="1"/>
  <c r="G126" i="1" l="1"/>
  <c r="G127" i="1"/>
  <c r="G103" i="1"/>
  <c r="G107" i="1"/>
  <c r="G146" i="1" l="1"/>
  <c r="I146" i="1"/>
  <c r="I109" i="1"/>
  <c r="I123" i="1"/>
  <c r="I91" i="1"/>
  <c r="I119" i="1" l="1"/>
  <c r="G139" i="1" l="1"/>
  <c r="G27" i="1"/>
  <c r="G18" i="1"/>
  <c r="G101" i="1"/>
  <c r="G100" i="1"/>
  <c r="G99" i="1"/>
  <c r="G98" i="1"/>
  <c r="I122" i="1" l="1"/>
  <c r="I90" i="1"/>
  <c r="I73" i="1"/>
  <c r="G94" i="1" l="1"/>
  <c r="G90" i="1" l="1"/>
  <c r="G93" i="1"/>
  <c r="G92" i="1"/>
  <c r="G91" i="1"/>
  <c r="G89" i="1"/>
  <c r="G87" i="1"/>
  <c r="G109" i="1" l="1"/>
  <c r="G120" i="1"/>
  <c r="G123" i="1"/>
  <c r="G136" i="1"/>
  <c r="G130" i="1"/>
  <c r="G122" i="1"/>
  <c r="G116" i="1"/>
  <c r="G115" i="1"/>
  <c r="F146" i="1"/>
  <c r="I57" i="1" l="1"/>
  <c r="I128" i="1"/>
  <c r="I130" i="1"/>
  <c r="I115" i="1"/>
  <c r="I101" i="1"/>
  <c r="I93" i="1"/>
  <c r="I89" i="1"/>
  <c r="G129" i="1" l="1"/>
  <c r="G119" i="1"/>
  <c r="F97" i="1" l="1"/>
  <c r="F120" i="1"/>
  <c r="G17" i="1"/>
  <c r="F94" i="1" l="1"/>
  <c r="H122" i="1" l="1"/>
  <c r="H128" i="1"/>
  <c r="H130" i="1"/>
  <c r="H115" i="1"/>
  <c r="H101" i="1"/>
  <c r="H100" i="1"/>
  <c r="H99" i="1"/>
  <c r="H98" i="1"/>
  <c r="H93" i="1"/>
  <c r="H57" i="1"/>
  <c r="F142" i="1"/>
  <c r="F109" i="1"/>
  <c r="F113" i="1"/>
  <c r="F128" i="1"/>
  <c r="F130" i="1"/>
  <c r="F122" i="1"/>
  <c r="F101" i="1"/>
  <c r="F100" i="1"/>
  <c r="F99" i="1"/>
  <c r="F98" i="1"/>
  <c r="F93" i="1"/>
  <c r="F123" i="1"/>
  <c r="F116" i="1"/>
  <c r="F119" i="1"/>
  <c r="F107" i="1"/>
  <c r="F103" i="1"/>
  <c r="F89" i="1"/>
  <c r="F127" i="1"/>
  <c r="F114" i="1"/>
  <c r="F115" i="1"/>
  <c r="F87" i="1"/>
  <c r="F90" i="1"/>
  <c r="F91" i="1"/>
  <c r="F126" i="1"/>
  <c r="F129" i="1" l="1"/>
  <c r="F17" i="1"/>
  <c r="F19" i="1" l="1"/>
  <c r="F16" i="1"/>
  <c r="F14" i="1"/>
  <c r="F18" i="1"/>
  <c r="F136" i="1"/>
  <c r="H119" i="1"/>
  <c r="H123" i="1"/>
  <c r="H109" i="1"/>
  <c r="H94" i="1"/>
  <c r="H89" i="1"/>
  <c r="H129" i="1"/>
  <c r="H126" i="1"/>
  <c r="H90" i="1"/>
  <c r="H59" i="1"/>
  <c r="H73" i="1"/>
  <c r="H31" i="1"/>
  <c r="J64" i="1" l="1"/>
  <c r="K64" i="1"/>
  <c r="I23" i="1"/>
  <c r="G23" i="1"/>
  <c r="K23" i="1" s="1"/>
  <c r="I41" i="1"/>
  <c r="G41" i="1"/>
  <c r="I78" i="1"/>
  <c r="K78" i="1" s="1"/>
  <c r="G78" i="1"/>
  <c r="K81" i="1"/>
  <c r="K82" i="1"/>
  <c r="E21" i="3"/>
  <c r="I148" i="1"/>
  <c r="H148" i="1"/>
  <c r="G148" i="1"/>
  <c r="F148" i="1"/>
  <c r="J152" i="1"/>
  <c r="I95" i="1"/>
  <c r="G95" i="1"/>
  <c r="H95" i="1"/>
  <c r="F95" i="1"/>
  <c r="I131" i="1"/>
  <c r="H131" i="1"/>
  <c r="G131" i="1"/>
  <c r="F131" i="1"/>
  <c r="I143" i="1"/>
  <c r="H143" i="1"/>
  <c r="G143" i="1"/>
  <c r="K143" i="1" s="1"/>
  <c r="F143" i="1"/>
  <c r="J143" i="1" s="1"/>
  <c r="J139" i="1"/>
  <c r="K139" i="1"/>
  <c r="M139" i="1"/>
  <c r="J69" i="1"/>
  <c r="K69" i="1"/>
  <c r="J62" i="1"/>
  <c r="M62" i="1" s="1"/>
  <c r="K62" i="1"/>
  <c r="J58" i="1"/>
  <c r="K58" i="1"/>
  <c r="J55" i="1"/>
  <c r="M55" i="1" s="1"/>
  <c r="K55" i="1"/>
  <c r="J56" i="1"/>
  <c r="K56" i="1"/>
  <c r="J54" i="1"/>
  <c r="K54" i="1"/>
  <c r="J50" i="1"/>
  <c r="K50" i="1"/>
  <c r="M50" i="1"/>
  <c r="J51" i="1"/>
  <c r="K51" i="1"/>
  <c r="J52" i="1"/>
  <c r="K52" i="1"/>
  <c r="J36" i="1"/>
  <c r="K36" i="1"/>
  <c r="J37" i="1"/>
  <c r="K37" i="1"/>
  <c r="M37" i="1"/>
  <c r="J30" i="1"/>
  <c r="K30" i="1"/>
  <c r="J14" i="1"/>
  <c r="J20" i="1"/>
  <c r="K20" i="1"/>
  <c r="M20" i="1"/>
  <c r="J17" i="1"/>
  <c r="K17" i="1"/>
  <c r="M17" i="1" s="1"/>
  <c r="F23" i="1"/>
  <c r="J146" i="1"/>
  <c r="K146" i="1"/>
  <c r="G104" i="1"/>
  <c r="G110" i="1"/>
  <c r="F41" i="1"/>
  <c r="H41" i="1"/>
  <c r="F104" i="1"/>
  <c r="F110" i="1"/>
  <c r="J72" i="1"/>
  <c r="M72" i="1" s="1"/>
  <c r="K72" i="1"/>
  <c r="J73" i="1"/>
  <c r="K73" i="1"/>
  <c r="J74" i="1"/>
  <c r="M74" i="1" s="1"/>
  <c r="K74" i="1"/>
  <c r="J70" i="1"/>
  <c r="K70" i="1"/>
  <c r="J27" i="1"/>
  <c r="K27" i="1"/>
  <c r="M27" i="1" s="1"/>
  <c r="K34" i="1"/>
  <c r="K35" i="1"/>
  <c r="K38" i="1"/>
  <c r="J34" i="1"/>
  <c r="J35" i="1"/>
  <c r="M35" i="1"/>
  <c r="J38" i="1"/>
  <c r="I137" i="1"/>
  <c r="I124" i="1"/>
  <c r="I117" i="1"/>
  <c r="G117" i="1"/>
  <c r="K117" i="1" s="1"/>
  <c r="I110" i="1"/>
  <c r="I104" i="1"/>
  <c r="G137" i="1"/>
  <c r="G124" i="1"/>
  <c r="K148" i="1"/>
  <c r="K147" i="1"/>
  <c r="K145" i="1"/>
  <c r="K141" i="1"/>
  <c r="K142" i="1"/>
  <c r="J142" i="1"/>
  <c r="K140" i="1"/>
  <c r="K136" i="1"/>
  <c r="K135" i="1"/>
  <c r="K134" i="1"/>
  <c r="K133" i="1"/>
  <c r="K130" i="1"/>
  <c r="K129" i="1"/>
  <c r="K128" i="1"/>
  <c r="K127" i="1"/>
  <c r="K126" i="1"/>
  <c r="K123" i="1"/>
  <c r="K122" i="1"/>
  <c r="J122" i="1"/>
  <c r="K121" i="1"/>
  <c r="K120" i="1"/>
  <c r="M120" i="1" s="1"/>
  <c r="K119" i="1"/>
  <c r="K116" i="1"/>
  <c r="K115" i="1"/>
  <c r="K114" i="1"/>
  <c r="K113" i="1"/>
  <c r="K112" i="1"/>
  <c r="J112" i="1"/>
  <c r="M112" i="1"/>
  <c r="K109" i="1"/>
  <c r="K108" i="1"/>
  <c r="K107" i="1"/>
  <c r="K106" i="1"/>
  <c r="K103" i="1"/>
  <c r="K102" i="1"/>
  <c r="K101" i="1"/>
  <c r="K100" i="1"/>
  <c r="K99" i="1"/>
  <c r="K98" i="1"/>
  <c r="J98" i="1"/>
  <c r="K97" i="1"/>
  <c r="K94" i="1"/>
  <c r="K93" i="1"/>
  <c r="K92" i="1"/>
  <c r="K91" i="1"/>
  <c r="K90" i="1"/>
  <c r="K89" i="1"/>
  <c r="K88" i="1"/>
  <c r="M88" i="1" s="1"/>
  <c r="K87" i="1"/>
  <c r="K77" i="1"/>
  <c r="K76" i="1"/>
  <c r="K75" i="1"/>
  <c r="K71" i="1"/>
  <c r="K68" i="1"/>
  <c r="K67" i="1"/>
  <c r="K66" i="1"/>
  <c r="K65" i="1"/>
  <c r="K63" i="1"/>
  <c r="K61" i="1"/>
  <c r="K60" i="1"/>
  <c r="M60" i="1" s="1"/>
  <c r="K59" i="1"/>
  <c r="K57" i="1"/>
  <c r="M57" i="1" s="1"/>
  <c r="K53" i="1"/>
  <c r="K49" i="1"/>
  <c r="K40" i="1"/>
  <c r="K39" i="1"/>
  <c r="K33" i="1"/>
  <c r="K32" i="1"/>
  <c r="K31" i="1"/>
  <c r="K29" i="1"/>
  <c r="K19" i="1"/>
  <c r="K18" i="1"/>
  <c r="K16" i="1"/>
  <c r="K15" i="1"/>
  <c r="K14" i="1"/>
  <c r="J87" i="1"/>
  <c r="F137" i="1"/>
  <c r="F124" i="1"/>
  <c r="F117" i="1"/>
  <c r="H137" i="1"/>
  <c r="H124" i="1"/>
  <c r="H117" i="1"/>
  <c r="H110" i="1"/>
  <c r="J110" i="1" s="1"/>
  <c r="H104" i="1"/>
  <c r="J147" i="1"/>
  <c r="J145" i="1"/>
  <c r="M145" i="1"/>
  <c r="J141" i="1"/>
  <c r="M141" i="1"/>
  <c r="J140" i="1"/>
  <c r="M140" i="1"/>
  <c r="J136" i="1"/>
  <c r="J135" i="1"/>
  <c r="M135" i="1" s="1"/>
  <c r="J134" i="1"/>
  <c r="J133" i="1"/>
  <c r="M133" i="1"/>
  <c r="J130" i="1"/>
  <c r="J129" i="1"/>
  <c r="J128" i="1"/>
  <c r="M128" i="1" s="1"/>
  <c r="J127" i="1"/>
  <c r="J126" i="1"/>
  <c r="J123" i="1"/>
  <c r="J121" i="1"/>
  <c r="M121" i="1" s="1"/>
  <c r="J120" i="1"/>
  <c r="J119" i="1"/>
  <c r="J116" i="1"/>
  <c r="J115" i="1"/>
  <c r="J114" i="1"/>
  <c r="J113" i="1"/>
  <c r="M113" i="1" s="1"/>
  <c r="J109" i="1"/>
  <c r="J108" i="1"/>
  <c r="M108" i="1"/>
  <c r="J107" i="1"/>
  <c r="J106" i="1"/>
  <c r="M106" i="1" s="1"/>
  <c r="J103" i="1"/>
  <c r="J102" i="1"/>
  <c r="J101" i="1"/>
  <c r="J100" i="1"/>
  <c r="J99" i="1"/>
  <c r="J97" i="1"/>
  <c r="J94" i="1"/>
  <c r="J93" i="1"/>
  <c r="J92" i="1"/>
  <c r="J91" i="1"/>
  <c r="J90" i="1"/>
  <c r="J89" i="1"/>
  <c r="J88" i="1"/>
  <c r="H23" i="1"/>
  <c r="H78" i="1"/>
  <c r="J78" i="1" s="1"/>
  <c r="F78" i="1"/>
  <c r="J81" i="1"/>
  <c r="J82" i="1"/>
  <c r="M147" i="1"/>
  <c r="M102" i="1"/>
  <c r="J77" i="1"/>
  <c r="J76" i="1"/>
  <c r="M76" i="1"/>
  <c r="J75" i="1"/>
  <c r="J71" i="1"/>
  <c r="J68" i="1"/>
  <c r="J67" i="1"/>
  <c r="J66" i="1"/>
  <c r="J65" i="1"/>
  <c r="J63" i="1"/>
  <c r="J61" i="1"/>
  <c r="M61" i="1"/>
  <c r="J60" i="1"/>
  <c r="J59" i="1"/>
  <c r="J57" i="1"/>
  <c r="M54" i="1"/>
  <c r="J53" i="1"/>
  <c r="M53" i="1"/>
  <c r="J49" i="1"/>
  <c r="M49" i="1"/>
  <c r="J40" i="1"/>
  <c r="J39" i="1"/>
  <c r="M39" i="1"/>
  <c r="M38" i="1"/>
  <c r="J33" i="1"/>
  <c r="M33" i="1" s="1"/>
  <c r="J32" i="1"/>
  <c r="J31" i="1"/>
  <c r="J29" i="1"/>
  <c r="J15" i="1"/>
  <c r="M15" i="1" s="1"/>
  <c r="J16" i="1"/>
  <c r="J18" i="1"/>
  <c r="J19" i="1"/>
  <c r="M19" i="1" s="1"/>
  <c r="J21" i="1"/>
  <c r="J22" i="1"/>
  <c r="K22" i="1"/>
  <c r="K21" i="1"/>
  <c r="M134" i="1"/>
  <c r="J148" i="1"/>
  <c r="M40" i="1"/>
  <c r="M59" i="1"/>
  <c r="M65" i="1"/>
  <c r="M71" i="1"/>
  <c r="M82" i="1"/>
  <c r="M34" i="1"/>
  <c r="M30" i="1"/>
  <c r="M70" i="1"/>
  <c r="M58" i="1"/>
  <c r="M69" i="1"/>
  <c r="M97" i="1"/>
  <c r="M22" i="1"/>
  <c r="M56" i="1"/>
  <c r="M75" i="1"/>
  <c r="M21" i="1"/>
  <c r="M32" i="1"/>
  <c r="M81" i="1"/>
  <c r="M29" i="1"/>
  <c r="M146" i="1"/>
  <c r="M52" i="1"/>
  <c r="M51" i="1"/>
  <c r="M73" i="1"/>
  <c r="M14" i="1"/>
  <c r="M63" i="1"/>
  <c r="M68" i="1"/>
  <c r="M77" i="1"/>
  <c r="M36" i="1" l="1"/>
  <c r="M64" i="1"/>
  <c r="M127" i="1"/>
  <c r="M103" i="1"/>
  <c r="M107" i="1"/>
  <c r="M16" i="1"/>
  <c r="M148" i="1"/>
  <c r="I83" i="1"/>
  <c r="M66" i="1"/>
  <c r="K137" i="1"/>
  <c r="M31" i="1"/>
  <c r="K41" i="1"/>
  <c r="K83" i="1" s="1"/>
  <c r="L41" i="1" s="1"/>
  <c r="M87" i="1"/>
  <c r="K131" i="1"/>
  <c r="M67" i="1"/>
  <c r="M90" i="1"/>
  <c r="M129" i="1"/>
  <c r="M130" i="1"/>
  <c r="G83" i="1"/>
  <c r="K124" i="1"/>
  <c r="K110" i="1"/>
  <c r="I149" i="1"/>
  <c r="M99" i="1"/>
  <c r="K104" i="1"/>
  <c r="M94" i="1"/>
  <c r="M78" i="1"/>
  <c r="M142" i="1"/>
  <c r="M136" i="1"/>
  <c r="M126" i="1"/>
  <c r="M123" i="1"/>
  <c r="M122" i="1"/>
  <c r="M119" i="1"/>
  <c r="M116" i="1"/>
  <c r="M115" i="1"/>
  <c r="M114" i="1"/>
  <c r="M109" i="1"/>
  <c r="M110" i="1"/>
  <c r="M143" i="1"/>
  <c r="M18" i="1"/>
  <c r="M100" i="1"/>
  <c r="M101" i="1"/>
  <c r="M98" i="1"/>
  <c r="G149" i="1"/>
  <c r="M93" i="1"/>
  <c r="M92" i="1"/>
  <c r="M91" i="1"/>
  <c r="M89" i="1"/>
  <c r="K95" i="1"/>
  <c r="J117" i="1"/>
  <c r="M117" i="1" s="1"/>
  <c r="J95" i="1"/>
  <c r="J41" i="1"/>
  <c r="J23" i="1"/>
  <c r="M23" i="1" s="1"/>
  <c r="J137" i="1"/>
  <c r="J124" i="1"/>
  <c r="F149" i="1"/>
  <c r="F83" i="1"/>
  <c r="J104" i="1"/>
  <c r="J131" i="1"/>
  <c r="H83" i="1"/>
  <c r="H149" i="1"/>
  <c r="I151" i="1" l="1"/>
  <c r="G151" i="1"/>
  <c r="M137" i="1"/>
  <c r="M41" i="1"/>
  <c r="M131" i="1"/>
  <c r="M104" i="1"/>
  <c r="M124" i="1"/>
  <c r="L52" i="1"/>
  <c r="L57" i="1"/>
  <c r="L27" i="1"/>
  <c r="L76" i="1"/>
  <c r="L78" i="1"/>
  <c r="L73" i="1"/>
  <c r="L38" i="1"/>
  <c r="L32" i="1"/>
  <c r="L64" i="1"/>
  <c r="L83" i="1"/>
  <c r="L66" i="1"/>
  <c r="L20" i="1"/>
  <c r="L56" i="1"/>
  <c r="L82" i="1"/>
  <c r="L81" i="1"/>
  <c r="L21" i="1"/>
  <c r="L19" i="1"/>
  <c r="L22" i="1"/>
  <c r="L40" i="1"/>
  <c r="L74" i="1"/>
  <c r="L34" i="1"/>
  <c r="L70" i="1"/>
  <c r="L29" i="1"/>
  <c r="L53" i="1"/>
  <c r="L18" i="1"/>
  <c r="L59" i="1"/>
  <c r="L30" i="1"/>
  <c r="L75" i="1"/>
  <c r="L39" i="1"/>
  <c r="L71" i="1"/>
  <c r="L51" i="1"/>
  <c r="L61" i="1"/>
  <c r="L36" i="1"/>
  <c r="L55" i="1"/>
  <c r="L60" i="1"/>
  <c r="L15" i="1"/>
  <c r="L65" i="1"/>
  <c r="L33" i="1"/>
  <c r="L67" i="1"/>
  <c r="L69" i="1"/>
  <c r="L62" i="1"/>
  <c r="L58" i="1"/>
  <c r="L16" i="1"/>
  <c r="L23" i="1"/>
  <c r="L72" i="1"/>
  <c r="L17" i="1"/>
  <c r="L68" i="1"/>
  <c r="L35" i="1"/>
  <c r="L49" i="1"/>
  <c r="L54" i="1"/>
  <c r="L37" i="1"/>
  <c r="L50" i="1"/>
  <c r="L77" i="1"/>
  <c r="L31" i="1"/>
  <c r="L14" i="1"/>
  <c r="L63" i="1"/>
  <c r="K149" i="1"/>
  <c r="L95" i="1" s="1"/>
  <c r="M95" i="1"/>
  <c r="J83" i="1"/>
  <c r="M83" i="1" s="1"/>
  <c r="F151" i="1"/>
  <c r="F153" i="1" s="1"/>
  <c r="G152" i="1" s="1"/>
  <c r="G153" i="1" s="1"/>
  <c r="H151" i="1"/>
  <c r="J149" i="1"/>
  <c r="L106" i="1" l="1"/>
  <c r="L124" i="1"/>
  <c r="L142" i="1"/>
  <c r="L131" i="1"/>
  <c r="L87" i="1"/>
  <c r="L121" i="1"/>
  <c r="L109" i="1"/>
  <c r="L145" i="1"/>
  <c r="L94" i="1"/>
  <c r="L102" i="1"/>
  <c r="L113" i="1"/>
  <c r="L128" i="1"/>
  <c r="L149" i="1"/>
  <c r="L110" i="1"/>
  <c r="L129" i="1"/>
  <c r="L89" i="1"/>
  <c r="L107" i="1"/>
  <c r="L126" i="1"/>
  <c r="L147" i="1"/>
  <c r="L99" i="1"/>
  <c r="L117" i="1"/>
  <c r="L136" i="1"/>
  <c r="L91" i="1"/>
  <c r="L114" i="1"/>
  <c r="L133" i="1"/>
  <c r="L88" i="1"/>
  <c r="L92" i="1"/>
  <c r="L115" i="1"/>
  <c r="L93" i="1"/>
  <c r="L112" i="1"/>
  <c r="L130" i="1"/>
  <c r="L139" i="1"/>
  <c r="L103" i="1"/>
  <c r="L122" i="1"/>
  <c r="L143" i="1"/>
  <c r="L100" i="1"/>
  <c r="L119" i="1"/>
  <c r="L137" i="1"/>
  <c r="L146" i="1"/>
  <c r="L97" i="1"/>
  <c r="L134" i="1"/>
  <c r="L101" i="1"/>
  <c r="L120" i="1"/>
  <c r="L140" i="1"/>
  <c r="L98" i="1"/>
  <c r="L116" i="1"/>
  <c r="L135" i="1"/>
  <c r="L90" i="1"/>
  <c r="L108" i="1"/>
  <c r="L127" i="1"/>
  <c r="L148" i="1"/>
  <c r="L104" i="1"/>
  <c r="L123" i="1"/>
  <c r="L141" i="1"/>
  <c r="H153" i="1"/>
  <c r="J151" i="1"/>
  <c r="E15" i="3"/>
  <c r="M149" i="1"/>
  <c r="I152" i="1" l="1"/>
  <c r="J153" i="1"/>
  <c r="E14" i="3" s="1"/>
  <c r="E16" i="3" s="1"/>
  <c r="K152" i="1" l="1"/>
  <c r="I153" i="1"/>
  <c r="K153" i="1" s="1"/>
</calcChain>
</file>

<file path=xl/comments1.xml><?xml version="1.0" encoding="utf-8"?>
<comments xmlns="http://schemas.openxmlformats.org/spreadsheetml/2006/main">
  <authors>
    <author>Rodney</author>
    <author>Rodney Lilley</author>
  </authors>
  <commentList>
    <comment ref="N4" authorId="0">
      <text>
        <r>
          <rPr>
            <b/>
            <sz val="10"/>
            <color indexed="81"/>
            <rFont val="Tahoma"/>
            <family val="2"/>
          </rPr>
          <t>Rodney:</t>
        </r>
        <r>
          <rPr>
            <sz val="10"/>
            <color indexed="81"/>
            <rFont val="Tahoma"/>
            <family val="2"/>
          </rPr>
          <t xml:space="preserve">
517 at High School
561 Eligible at Elementary
80 for PREK, not eligible for MFP Funding.  Eligible for PREK State and PREK TANF Funding 
Total Estimated School Enrollment:  1,158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Rodney:</t>
        </r>
        <r>
          <rPr>
            <sz val="9"/>
            <color indexed="81"/>
            <rFont val="Tahoma"/>
            <family val="2"/>
          </rPr>
          <t xml:space="preserve">
MLK SAA Other</t>
        </r>
      </text>
    </comment>
    <comment ref="F1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Gala 
NOLA Business Reimb</t>
        </r>
      </text>
    </comment>
    <comment ref="G18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Gross Local MFP:  $5,099,906, less Audit Adjustment of $4,809.00, leaving net local MFP of $5,095,097 based on MFP excel schedule at LDOE website. 
Anticipating adding another 140 stdudents at $5,437 as the local  base per pupil amount amount from Local MFP Schedule, totaling $761,180
</t>
        </r>
      </text>
    </comment>
    <comment ref="F1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MLK SAA Other, Transporation
Sun up Sun Down 
Athletic Dept Sales 
Rental Staff</t>
        </r>
      </text>
    </comment>
    <comment ref="G27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Amount includes $30,090 for SCA, 
$138,706 gain  in Audit Adjustments, net State MFP = $3,910,578 for  a Grand Total of $4,079,374 --Based on MFP Schedule at LDOE Website.
Anticipating an additional 140 students over that of the 2-1-17 count at an estimated weighted base per pupil State allocation amount of $3,940.00 for a total of $551,600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Rodney:</t>
        </r>
        <r>
          <rPr>
            <sz val="9"/>
            <color indexed="81"/>
            <rFont val="Tahoma"/>
            <family val="2"/>
          </rPr>
          <t xml:space="preserve">
Elementary Principal/CEO
High School Principal </t>
        </r>
      </text>
    </comment>
    <comment ref="F8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504 Coord
SPED Coord
PreK Coord
Staff Developer 
Principal #2
Principal-High School
Technology Coord
Dir of Student Affairs
Assistant Principal 
Asst Principal High School
Transportation Coord
Testing Coord
Dir of Admissions/Enrollment </t>
        </r>
      </text>
    </comment>
    <comment ref="G89" authorId="0">
      <text>
        <r>
          <rPr>
            <b/>
            <sz val="10"/>
            <color indexed="81"/>
            <rFont val="Tahoma"/>
            <family val="2"/>
          </rPr>
          <t>Rodney:</t>
        </r>
        <r>
          <rPr>
            <sz val="10"/>
            <color indexed="81"/>
            <rFont val="Tahoma"/>
            <family val="2"/>
          </rPr>
          <t xml:space="preserve">
Testing Coordinator
Staff Developer
Head Custodian
SPED Coordinator(s)
Assistant Principal(s) 
Operations Manager
</t>
        </r>
      </text>
    </comment>
    <comment ref="H8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I, ISS </t>
        </r>
      </text>
    </comment>
    <comment ref="I8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 Staff Dev
Food Svc Manager</t>
        </r>
      </text>
    </comment>
    <comment ref="H90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LA4 TANF
LA4 State </t>
        </r>
      </text>
    </comment>
    <comment ref="I90" authorId="0">
      <text>
        <r>
          <rPr>
            <b/>
            <sz val="10"/>
            <color indexed="81"/>
            <rFont val="Tahoma"/>
            <family val="2"/>
          </rPr>
          <t>Rodney:</t>
        </r>
        <r>
          <rPr>
            <sz val="10"/>
            <color indexed="81"/>
            <rFont val="Tahoma"/>
            <family val="2"/>
          </rPr>
          <t xml:space="preserve">
LA4 TANF-3 Teachers
LA4 State- 1 Teacher </t>
        </r>
      </text>
    </comment>
    <comment ref="F91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Social Worker
Interventionists</t>
        </r>
      </text>
    </comment>
    <comment ref="G91" authorId="0">
      <text>
        <r>
          <rPr>
            <b/>
            <sz val="10"/>
            <color indexed="81"/>
            <rFont val="Tahoma"/>
            <family val="2"/>
          </rPr>
          <t xml:space="preserve">Rodney:
</t>
        </r>
        <r>
          <rPr>
            <sz val="10"/>
            <color indexed="81"/>
            <rFont val="Tahoma"/>
            <family val="2"/>
          </rPr>
          <t xml:space="preserve">
.25 Social Worker
1 Counselor
Interventionists</t>
        </r>
      </text>
    </comment>
    <comment ref="H91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 </t>
        </r>
      </text>
    </comment>
    <comment ref="I91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 Social Worker
Title I Interventionist
Title IV Social Worker </t>
        </r>
      </text>
    </comment>
    <comment ref="F9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Custodial Supervisor
Custodians
Hall Monitors
Bus Monitors
Crossing Guards 
Food svc Technicians</t>
        </r>
      </text>
    </comment>
    <comment ref="G93" authorId="0">
      <text>
        <r>
          <rPr>
            <b/>
            <sz val="10"/>
            <color indexed="81"/>
            <rFont val="Tahoma"/>
            <family val="2"/>
          </rPr>
          <t>Rodney:</t>
        </r>
        <r>
          <rPr>
            <sz val="10"/>
            <color indexed="81"/>
            <rFont val="Tahoma"/>
            <family val="2"/>
          </rPr>
          <t xml:space="preserve">
Hall Monitors
Crossing Guards
Bus Monitors
Custodians</t>
        </r>
      </text>
    </comment>
    <comment ref="H9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Food Service </t>
        </r>
      </text>
    </comment>
    <comment ref="I9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Food Service ($155,723)</t>
        </r>
      </text>
    </comment>
    <comment ref="F94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21st Ccentury 
Summer Planning 
Pre-K Aides
Supplemental Payments 
Regular Paras 
Substitutes
X-tra Work Performed 
SPED Paras
Proj Mgt
Accountant
Grants Compliance Officer 
IT Staff
HR Coord
Data Processing </t>
        </r>
      </text>
    </comment>
    <comment ref="G94" authorId="0">
      <text>
        <r>
          <rPr>
            <b/>
            <sz val="10"/>
            <color indexed="81"/>
            <rFont val="Tahoma"/>
            <family val="2"/>
          </rPr>
          <t>Rodney:</t>
        </r>
        <r>
          <rPr>
            <sz val="10"/>
            <color indexed="81"/>
            <rFont val="Tahoma"/>
            <family val="2"/>
          </rPr>
          <t xml:space="preserve">
Paraprofessionals ($471,000)
HR Coordinator
Data Manager
Project Manager
Nurse(s)
Disciplinarian (Dean of Students) 
IT Support
Admissions
IT Manager
Transportation Coordinator
504 Coordinator 
Compliance Coordinator
Accountant
Substitutes
Extra Work/OT
Incentives
Summer Planning/Stipends
Sports Stipends
Band Stipends
After School Care Personnel </t>
        </r>
      </text>
    </comment>
    <comment ref="H94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LA4 TANF
High Cost Rnd 1 
IDEA Part B 
SIG
LA4 State 
EEF
Title II 
Title I </t>
        </r>
      </text>
    </comment>
    <comment ref="I94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Pt B Paras 
Summer Curriculum Dev Meetings IDEA Pt B
ESYP Stipends, IDEA Part B 
Titel II PD Stipends
Title II Leadership Collaboration Stipends
Title II Summer Curriculum Development Stipends
Title II FUBU Stipends
Title I Parental Involvement Liasion
Title I Tech Coach
Title I Academic Coach
Title I COMER Fac
Title I Summer Remediaton
Title I HS Math Remediation
Title I Bus Monitor
Title I ELA/Math Tutor
Title I Elementary Grade Tutoring
Title I Leadership Focus
Title I Summer Curriculum Development
Title 1 Admin Assistant Compliance
Title I Parental Invovlement Stipends 
LA4 TANF-1 Paraprofessional
LA4 State-3 Paraprofessionals
LA4 Coordinator 
SIG </t>
        </r>
      </text>
    </comment>
    <comment ref="F97" authorId="0">
      <text>
        <r>
          <rPr>
            <b/>
            <sz val="9"/>
            <color indexed="81"/>
            <rFont val="Tahoma"/>
            <family val="2"/>
          </rPr>
          <t>Rodney:</t>
        </r>
        <r>
          <rPr>
            <sz val="9"/>
            <color indexed="81"/>
            <rFont val="Tahoma"/>
            <family val="2"/>
          </rPr>
          <t xml:space="preserve">
S/B $596,015</t>
        </r>
      </text>
    </comment>
    <comment ref="F10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Vacattion Expense
Worker's Comp</t>
        </r>
      </text>
    </comment>
    <comment ref="I10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II Tuition Reimbursement </t>
        </r>
      </text>
    </comment>
    <comment ref="F107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Payroll Processing Fees
Outsourced Financial Svcs</t>
        </r>
      </text>
    </comment>
    <comment ref="F10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NSNO 50K
Candy Drive 
Alarm Monitoring 
Registration Fees
Athletic Programm Fees
Outsourced Security Services 
IT Svcs Outsourced
Background/Fingerprinting Checks 
Fund Raising 
Outsourced OPS
</t>
        </r>
      </text>
    </comment>
    <comment ref="G109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Speech Therapist
OT/PT/APE Services
Psycholisits
Professional Athelic Fee
Speakers
Tutors
IT Consulting
E-Rate Consulting
Fingerprint Services
SPED Consulting
Outsourced Security Services
Alarm Monitoring Svcs
QB Software Support </t>
        </r>
      </text>
    </comment>
    <comment ref="H10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Carl Perkins
IDEA Pre K 
Homeless
IDEA Part B 
Opportunity Grant
Title I </t>
        </r>
      </text>
    </comment>
    <comment ref="I10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Part B, Service Providers
IDEA Part B, Consultants for PD 
Title II Consultant Fees for In-house service Trainings
Title I Outsourced Tutoring
Title I In-House PD Consultants for Staff
Title 1- Consultants for High School Students
Title IV</t>
        </r>
      </text>
    </comment>
    <comment ref="F11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Enterprise Operations</t>
        </r>
      </text>
    </comment>
    <comment ref="G115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Copier Maintenance Agreements
Equipment Repair and Maintenance 
Building repair and maintenance
HVAC maintenance 
</t>
        </r>
      </text>
    </comment>
    <comment ref="H115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 
Food Service </t>
        </r>
      </text>
    </comment>
    <comment ref="I115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Part B, Audiometer Calibration
IDEA Part B, repair on SPED related equipment
Title I
Food Svc</t>
        </r>
      </text>
    </comment>
    <comment ref="F11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MLK SAA Other-Care/Upkeep of Grounds 
Lawn/Grounds Maintenance 
Disposal Services
Inspections
Website Maintenance </t>
        </r>
      </text>
    </comment>
    <comment ref="G116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Grounds Maintenance/Care
Inspections
Disposal Services 
Pest Control
Termite Treatments
</t>
        </r>
      </text>
    </comment>
    <comment ref="F11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4tg Grade SAA
Band
c/o 2017
RTA Tokens
Regular Transportation
Extra Curricular Transportation
Athletic Transportation</t>
        </r>
      </text>
    </comment>
    <comment ref="G119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Regular Transportation 
Extra-Curricular Transportation 
Athletic/Band Transportation </t>
        </r>
      </text>
    </comment>
    <comment ref="H11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8(g)
Opportunity Grant 
Title I </t>
        </r>
      </text>
    </comment>
    <comment ref="I11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Pt B Field Trip Transportation
IDEA Pt B SPED Std Regular Transportaton
IDEA Pt B ESYP Transportation Closts
Title I Homeless transportatoin 
Title I Educational Field Trip Transportation 
Title I Student Transportation for LEAP/iLEAP Remediation
Title I Transportation for students to Colleges for Dual Enrollment, internships and job shadowing
Title I Transportation Tokens for Homeless Students 
LA4 State Field trips 
8(g) Field Trips</t>
        </r>
      </text>
    </comment>
    <comment ref="G120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Property
General Liabillity/Sexual Abuse
Auto (Fleet) 
Director's and Officer's
Crime 
</t>
        </r>
      </text>
    </comment>
    <comment ref="F122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Candy Drive
Pre-K SAA</t>
        </r>
      </text>
    </comment>
    <comment ref="H122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Carl Perkins
LA4 TANF
Opportunity Grant 
LA4 State 
Title II 
Title I 
Food Service 
</t>
        </r>
      </text>
    </comment>
    <comment ref="I122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Part B Travel- In/Out of State
Title II 
Title I Homeless Travel 
Title I In/Out State Travel--All applicable areas--Instructional/School Leadership
Title I Parental Involvement Travel 
Title I Travel, Federal Programs
Food Service 
LA4 State </t>
        </r>
      </text>
    </comment>
    <comment ref="F12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SCA(Supplemental Course Allocation) 
Advertising
Postage
Telephone 
Printing
Elevator Service
Internet</t>
        </r>
      </text>
    </comment>
    <comment ref="G123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Website Design and Maintenance 
Telephone
Internet
JPAMS
Postage
Printing/Binding
Advertisement
Elevator Service 
Bus Tokens
SCA Tuition Payments</t>
        </r>
      </text>
    </comment>
    <comment ref="H12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Carl Perkins
LA4 TANF
Opportunity Grant 
Title I </t>
        </r>
      </text>
    </comment>
    <comment ref="I123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Part B Web Based Subscription
IDEA Part B Printing/Postage
Title I Field Trip--Admissions and Registration Fees
Title I Web Based Subscriptions--Instructional/Remediation
Title I, Student Tuition for Dual Enrollment at Universitities
Title I Printing Cost
Title I Web Based Subscription-Program Compliance
Title I Parent Involvement--Printing and Postage 
8(g) Web based licenses 
Title IV </t>
        </r>
      </text>
    </comment>
    <comment ref="F12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Originally from High Cost Rnd 1:  $23,845.50 
Gala
Regular Instructional Supplies
SPED Supplies
</t>
        </r>
      </text>
    </comment>
    <comment ref="G126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Regular Instructional 
SPED Instructional 
Copy Paper 
Technological Supplies-Instructional 
Library Supplies/Books
PBIS Supplies 
</t>
        </r>
      </text>
    </comment>
    <comment ref="H12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CDF-Career Development Funds
8(g)
Carl Perkins
LA4 TANF
Homeless
IDEA Part B
Opportunity Grant 
SIG 
LA4 State 
Title I </t>
        </r>
      </text>
    </comment>
    <comment ref="I12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IDEA PreSchool 619
IDEA Part B SPED Student Supply needs
IDEA Part B EIS Supplies
IDEA Part B Assessment Supplies 
Title I Supplies --Instructional, Remediation 
Title I Supplies Technology 
Title I Homeless Supplies 
LA4 TANF Supplies 
8(g) Supplies
Title IV
Carl Perkins
CDF</t>
        </r>
      </text>
    </comment>
    <comment ref="F127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Gala </t>
        </r>
      </text>
    </comment>
    <comment ref="H129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Rodney:
</t>
        </r>
        <r>
          <rPr>
            <sz val="10"/>
            <color indexed="81"/>
            <rFont val="Calibri"/>
            <family val="2"/>
            <scheme val="minor"/>
          </rPr>
          <t xml:space="preserve">8(g)
Carl Perkins
LA4 TANF
Opportunity Grant
EEF
Title I </t>
        </r>
      </text>
    </comment>
    <comment ref="F130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Maintenance Supplies
Janitorial Supplies 
Nursing Supplies
General Admin 2300 
School Admin
Security Supplies
Food Service/Kitchen/Cafeteria Supplies</t>
        </r>
      </text>
    </comment>
    <comment ref="G130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School Maintenance Supplies
Janitorial Supplies
Nurse Supplies
Office Supplies 
Social Worker Supplies 
Admin Supplies</t>
        </r>
      </text>
    </comment>
    <comment ref="H130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Homeless
Title II 
Title I 
Food Service/Kitchen/Cafeteria </t>
        </r>
      </text>
    </comment>
    <comment ref="I130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 PD Supplies 
Title I Parental Invovlement Supplies
Title I PBIS Materials &amp; Supplies 
Title I Leadership Development Supplies
Food Svc/Kitchen Supplies</t>
        </r>
      </text>
    </comment>
    <comment ref="H135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8(g) </t>
        </r>
      </text>
    </comment>
    <comment ref="I135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8(g)</t>
        </r>
      </text>
    </comment>
    <comment ref="F13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ICT--Internet MIBS</t>
        </r>
      </text>
    </comment>
    <comment ref="G136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Contingency </t>
        </r>
      </text>
    </comment>
    <comment ref="H136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8(g) </t>
        </r>
      </text>
    </comment>
    <comment ref="G139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OPSB admin fee of 1.75%
LDOE admin fee of .25% for a grand total of 2% admin fees on Local Gross MFP amount </t>
        </r>
      </text>
    </comment>
    <comment ref="F142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Dues and Subscriptions
LASBO
ASCD
LAPCS
Enterprise Operations-Scholarships-C/O 2016</t>
        </r>
      </text>
    </comment>
    <comment ref="G142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LAPCS
LASBO
ACSD
Enterprise Operations-Scholarships </t>
        </r>
      </text>
    </comment>
    <comment ref="H142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II </t>
        </r>
      </text>
    </comment>
    <comment ref="I142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Title II Membership Fees</t>
        </r>
      </text>
    </comment>
    <comment ref="G146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Title IV Indirect Cost
Food Service Excess</t>
        </r>
      </text>
    </comment>
    <comment ref="I146" authorId="1">
      <text>
        <r>
          <rPr>
            <b/>
            <sz val="9"/>
            <color indexed="81"/>
            <rFont val="Tahoma"/>
            <charset val="1"/>
          </rPr>
          <t>Rodney Lilley:</t>
        </r>
        <r>
          <rPr>
            <sz val="9"/>
            <color indexed="81"/>
            <rFont val="Tahoma"/>
            <charset val="1"/>
          </rPr>
          <t xml:space="preserve">
Title IV Indirect Cost
Food Service Excess</t>
        </r>
      </text>
    </comment>
    <comment ref="H151" authorId="0">
      <text>
        <r>
          <rPr>
            <b/>
            <sz val="10"/>
            <color indexed="81"/>
            <rFont val="Calibri"/>
            <family val="2"/>
            <scheme val="minor"/>
          </rPr>
          <t>Rodney:</t>
        </r>
        <r>
          <rPr>
            <sz val="10"/>
            <color indexed="81"/>
            <rFont val="Calibri"/>
            <family val="2"/>
            <scheme val="minor"/>
          </rPr>
          <t xml:space="preserve">
Food Service Revenue</t>
        </r>
      </text>
    </comment>
  </commentList>
</comments>
</file>

<file path=xl/sharedStrings.xml><?xml version="1.0" encoding="utf-8"?>
<sst xmlns="http://schemas.openxmlformats.org/spreadsheetml/2006/main" count="197" uniqueCount="190">
  <si>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</si>
  <si>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</si>
  <si>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</si>
  <si>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</si>
  <si>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</si>
  <si>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</si>
  <si>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</si>
  <si>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</si>
  <si>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</si>
  <si>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</si>
  <si>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</si>
  <si>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</si>
  <si>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</si>
  <si>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</si>
  <si>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</si>
  <si>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</si>
  <si>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</si>
  <si>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</si>
  <si>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</si>
  <si>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</si>
  <si>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</si>
  <si>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</si>
  <si>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</si>
  <si>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</si>
  <si>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</si>
  <si>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</si>
  <si>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</si>
  <si>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</si>
  <si>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</si>
  <si>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</si>
  <si>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</si>
  <si>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</si>
  <si>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</si>
  <si>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</si>
  <si>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</si>
  <si>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</si>
  <si>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</si>
  <si>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</si>
  <si>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</si>
  <si>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</si>
  <si>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</si>
  <si>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</si>
  <si>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</si>
  <si>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</si>
  <si>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</si>
  <si>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</si>
  <si>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</si>
  <si>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</si>
  <si>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</si>
  <si>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</si>
  <si>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</si>
  <si>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</si>
  <si>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</si>
  <si>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</si>
  <si>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</si>
  <si>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</si>
  <si>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</si>
  <si>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</si>
  <si>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</si>
  <si>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</si>
  <si>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</si>
  <si>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</si>
  <si>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</si>
  <si>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</si>
  <si>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</si>
  <si>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</si>
  <si>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</si>
  <si>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</si>
  <si>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</si>
  <si>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</si>
  <si>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</si>
  <si>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</si>
  <si>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</si>
  <si>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</si>
  <si>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</si>
  <si>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</si>
  <si>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</si>
  <si>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</si>
  <si>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</si>
  <si>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</si>
  <si>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</si>
  <si>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</si>
  <si>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</si>
  <si>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</si>
  <si>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</si>
  <si>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</si>
  <si>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</si>
  <si>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</si>
  <si>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</si>
  <si>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</si>
  <si>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</si>
  <si>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</si>
  <si>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</si>
  <si>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</si>
  <si>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</si>
  <si>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</si>
  <si>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</si>
  <si>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</si>
  <si>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</si>
  <si>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</si>
  <si>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</si>
  <si>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</si>
  <si>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</si>
  <si>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</si>
  <si>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</si>
  <si>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</si>
  <si>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</si>
  <si>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</si>
  <si>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</si>
  <si>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</si>
  <si>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</si>
  <si>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</si>
  <si>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</si>
  <si>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</si>
  <si>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</si>
  <si>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</si>
  <si>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</si>
  <si>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</si>
  <si>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</si>
  <si>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</si>
  <si>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</si>
  <si>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</si>
  <si>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</si>
  <si>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</si>
  <si>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</si>
  <si>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</si>
  <si>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</si>
  <si>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</si>
  <si>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</si>
  <si>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</si>
  <si>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</si>
  <si>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</si>
  <si>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</si>
  <si>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</si>
  <si>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</si>
  <si>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</si>
  <si>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</si>
  <si>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</si>
  <si>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</si>
  <si>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</si>
  <si>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</si>
  <si>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</si>
  <si>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</si>
  <si>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</si>
  <si>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</si>
  <si>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</si>
  <si>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</si>
  <si>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</si>
  <si>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</si>
  <si>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</si>
  <si>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</si>
  <si>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</si>
  <si>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</si>
  <si>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>CHARTER SCHOOL ANNUAL OPERATING BUDGET</t>
  </si>
  <si>
    <t>Local "MFP" Per Pupil Aid (Local Revenue transfers)</t>
  </si>
  <si>
    <t>580-583</t>
  </si>
  <si>
    <t>640-644</t>
  </si>
  <si>
    <t xml:space="preserve">    Extended School Year Services</t>
  </si>
  <si>
    <t>CHARTER SCHOOL PERFORMANCE COMPACT FINANCE INDICATORS</t>
  </si>
  <si>
    <t>Indicator</t>
  </si>
  <si>
    <t>TOTAL FUNDS</t>
  </si>
  <si>
    <t>FUND BALANCE RATIO</t>
  </si>
  <si>
    <t>End of Year Fund Balance</t>
  </si>
  <si>
    <t>Total Annual Expenditures</t>
  </si>
  <si>
    <t>DEBT-TO-ASSET RATIO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</si>
  <si>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</si>
  <si>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</si>
  <si>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</si>
  <si>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</si>
  <si>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2016-17</t>
  </si>
  <si>
    <t>FISCAL YEAR 2017-18</t>
  </si>
  <si>
    <t>Actual
Yr-to-Date
2016-17</t>
  </si>
  <si>
    <t>Annual 
Budget 
2017-18</t>
  </si>
  <si>
    <t>Actual
2016-17 
Total Funds</t>
  </si>
  <si>
    <t>Budgeted
2017-18 
Total Funds</t>
  </si>
  <si>
    <t>Actual
2016-17</t>
  </si>
  <si>
    <t>Total Liabilities as of 6/30/17</t>
  </si>
  <si>
    <t>Total Assets as of 6/30/17</t>
  </si>
  <si>
    <t>Dr. Martin Luther King Jr. Charter School</t>
  </si>
  <si>
    <t xml:space="preserve">   CDF-Career Development Funds</t>
  </si>
  <si>
    <t>Career &amp; Technical Education (Carl Perkins)</t>
  </si>
  <si>
    <t xml:space="preserve">    LA4 TANF</t>
  </si>
  <si>
    <t xml:space="preserve">   High Cost Rnd 1</t>
  </si>
  <si>
    <t xml:space="preserve">   Homeless</t>
  </si>
  <si>
    <t xml:space="preserve">  Opportunity Grant</t>
  </si>
  <si>
    <t xml:space="preserve">  Education Excellence Funds (EEF)</t>
  </si>
  <si>
    <t xml:space="preserve"> Act 14 </t>
  </si>
  <si>
    <t xml:space="preserve">Worker's Com, Vacation Expense </t>
  </si>
  <si>
    <t>Student Count Budget is Based on: 1078</t>
  </si>
  <si>
    <t>Transfer of excess revenue over cost from Food Service, Title IV 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</si>
</sst>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6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auto="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auto="1"/>
      </bottom>
      <diagonal/>
    </border>
    <border>
      <left style="double">
        <color indexed="8"/>
      </left>
      <right/>
      <top style="hair">
        <color auto="1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auto="1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auto="1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auto="1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auto="1"/>
      </top>
      <bottom style="double">
        <color indexed="8"/>
      </bottom>
      <diagonal/>
    </border>
    <border>
      <left style="double">
        <color auto="1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auto="1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22"/>
      </left>
      <right/>
      <top style="double">
        <color indexed="8"/>
      </top>
      <bottom style="thin">
        <color indexed="55"/>
      </bottom>
      <diagonal/>
    </border>
    <border>
      <left/>
      <right/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 style="double">
        <color indexed="8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double">
        <color auto="1"/>
      </left>
      <right/>
      <top style="thin">
        <color auto="1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1" fillId="3" borderId="47" xfId="0" applyNumberFormat="1" applyFont="1" applyFill="1" applyBorder="1" applyProtection="1"/>
    <xf numFmtId="0" fontId="9" fillId="6" borderId="8" xfId="0" applyFont="1" applyFill="1" applyBorder="1" applyAlignment="1" applyProtection="1">
      <alignment horizontal="center"/>
    </xf>
    <xf numFmtId="0" fontId="7" fillId="3" borderId="113" xfId="0" applyFont="1" applyFill="1" applyBorder="1"/>
    <xf numFmtId="0" fontId="7" fillId="6" borderId="42" xfId="0" applyFont="1" applyFill="1" applyBorder="1"/>
    <xf numFmtId="6" fontId="1" fillId="6" borderId="47" xfId="0" applyNumberFormat="1" applyFont="1" applyFill="1" applyBorder="1" applyProtection="1">
      <protection locked="0"/>
    </xf>
    <xf numFmtId="0" fontId="7" fillId="3" borderId="114" xfId="0" applyFont="1" applyFill="1" applyBorder="1"/>
    <xf numFmtId="0" fontId="7" fillId="6" borderId="115" xfId="0" applyFont="1" applyFill="1" applyBorder="1"/>
    <xf numFmtId="6" fontId="1" fillId="6" borderId="46" xfId="0" applyNumberFormat="1" applyFont="1" applyFill="1" applyBorder="1" applyProtection="1"/>
    <xf numFmtId="0" fontId="7" fillId="2" borderId="116" xfId="0" applyFont="1" applyFill="1" applyBorder="1"/>
    <xf numFmtId="164" fontId="1" fillId="2" borderId="21" xfId="0" applyNumberFormat="1" applyFont="1" applyFill="1" applyBorder="1"/>
    <xf numFmtId="6" fontId="1" fillId="0" borderId="39" xfId="0" applyNumberFormat="1" applyFont="1" applyFill="1" applyBorder="1"/>
    <xf numFmtId="6" fontId="1" fillId="3" borderId="47" xfId="0" applyNumberFormat="1" applyFont="1" applyFill="1" applyBorder="1"/>
    <xf numFmtId="6" fontId="1" fillId="0" borderId="31" xfId="0" applyNumberFormat="1" applyFont="1" applyFill="1" applyBorder="1"/>
    <xf numFmtId="6" fontId="1" fillId="0" borderId="21" xfId="0" applyNumberFormat="1" applyFont="1" applyBorder="1" applyProtection="1">
      <protection locked="0"/>
    </xf>
    <xf numFmtId="2" fontId="1" fillId="2" borderId="21" xfId="0" applyNumberFormat="1" applyFont="1" applyFill="1" applyBorder="1"/>
    <xf numFmtId="164" fontId="1" fillId="0" borderId="16" xfId="2" applyNumberFormat="1" applyFont="1" applyBorder="1" applyAlignment="1" applyProtection="1">
      <alignment horizontal="left"/>
      <protection locked="0"/>
    </xf>
    <xf numFmtId="0" fontId="16" fillId="0" borderId="0" xfId="0" applyFont="1" applyBorder="1" applyAlignment="1"/>
    <xf numFmtId="164" fontId="6" fillId="0" borderId="6" xfId="2" applyNumberFormat="1" applyFont="1" applyBorder="1" applyAlignment="1" applyProtection="1">
      <alignment horizontal="left"/>
      <protection locked="0"/>
    </xf>
    <xf numFmtId="164" fontId="6" fillId="2" borderId="6" xfId="2" applyNumberFormat="1" applyFont="1" applyFill="1" applyBorder="1" applyAlignment="1">
      <alignment horizontal="left"/>
    </xf>
    <xf numFmtId="164" fontId="6" fillId="3" borderId="6" xfId="2" applyNumberFormat="1" applyFont="1" applyFill="1" applyBorder="1" applyAlignment="1">
      <alignment horizontal="left"/>
    </xf>
    <xf numFmtId="164" fontId="6" fillId="0" borderId="29" xfId="2" applyNumberFormat="1" applyFont="1" applyBorder="1" applyAlignment="1" applyProtection="1">
      <alignment horizontal="left"/>
      <protection locked="0"/>
    </xf>
    <xf numFmtId="164" fontId="6" fillId="2" borderId="48" xfId="2" applyNumberFormat="1" applyFont="1" applyFill="1" applyBorder="1" applyAlignment="1">
      <alignment horizontal="left"/>
    </xf>
    <xf numFmtId="164" fontId="6" fillId="3" borderId="29" xfId="2" applyNumberFormat="1" applyFont="1" applyFill="1" applyBorder="1" applyAlignment="1">
      <alignment horizontal="left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5" fillId="0" borderId="101" xfId="0" applyFont="1" applyBorder="1" applyAlignment="1" applyProtection="1">
      <alignment horizontal="center"/>
      <protection locked="0"/>
    </xf>
    <xf numFmtId="0" fontId="5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7" fillId="0" borderId="110" xfId="0" applyFont="1" applyBorder="1" applyAlignment="1">
      <alignment horizontal="left"/>
    </xf>
    <xf numFmtId="0" fontId="17" fillId="0" borderId="111" xfId="0" applyFont="1" applyBorder="1" applyAlignment="1">
      <alignment horizontal="left"/>
    </xf>
    <xf numFmtId="0" fontId="17" fillId="0" borderId="112" xfId="0" applyFont="1" applyBorder="1" applyAlignment="1">
      <alignment horizontal="left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V186"/>
  <sheetViews>
    <sheetView showGridLines="0" tabSelected="1" defaultGridColor="0" view="pageBreakPreview" colorId="22" zoomScaleNormal="68" zoomScaleSheetLayoutView="100" zoomScalePageLayoutView="68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I127" sqref="I127"/>
    </sheetView>
  </sheetViews>
  <sheetFormatPr defaultColWidth="11.44140625" defaultRowHeight="15"/>
  <cols>
    <col min="1" max="1" width="3.21875" style="4" customWidth="1"/>
    <col min="2" max="2" width="2" style="1" customWidth="1"/>
    <col min="3" max="3" width="2.44140625" style="1" customWidth="1"/>
    <col min="4" max="4" width="45.21875" style="1" customWidth="1"/>
    <col min="5" max="5" width="13" style="1" bestFit="1" customWidth="1"/>
    <col min="6" max="6" width="12.44140625" style="1" customWidth="1"/>
    <col min="7" max="7" width="13.77734375" style="1" customWidth="1"/>
    <col min="8" max="9" width="15" style="1" customWidth="1"/>
    <col min="10" max="10" width="12.21875" style="1" customWidth="1"/>
    <col min="11" max="11" width="13.664062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8" ht="21.95" customHeight="1">
      <c r="A1" s="342" t="s">
        <v>153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8" ht="20.100000000000001" customHeight="1">
      <c r="A2" s="342" t="s">
        <v>170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8" ht="20.100000000000001" customHeight="1" thickBo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4" spans="1:18" ht="20.100000000000001" customHeight="1" thickTop="1" thickBot="1">
      <c r="B4" s="2"/>
      <c r="C4" s="2"/>
      <c r="D4" s="2"/>
      <c r="E4" s="2"/>
      <c r="F4" s="2"/>
      <c r="G4" s="2"/>
      <c r="H4" s="2"/>
      <c r="I4" s="2"/>
      <c r="N4" s="350" t="s">
        <v>188</v>
      </c>
    </row>
    <row r="5" spans="1:18" ht="20.25" customHeight="1" thickTop="1" thickBot="1">
      <c r="A5" s="3"/>
      <c r="C5" s="15" t="s">
        <v>0</v>
      </c>
      <c r="D5" s="348" t="s">
        <v>178</v>
      </c>
      <c r="H5" s="344" t="s">
        <v>102</v>
      </c>
      <c r="I5" s="345"/>
      <c r="N5" s="351"/>
    </row>
    <row r="6" spans="1:18" ht="21.75" customHeight="1" thickTop="1" thickBot="1">
      <c r="D6" s="349"/>
      <c r="H6" s="346"/>
      <c r="I6" s="347"/>
    </row>
    <row r="7" spans="1:18" ht="9.9499999999999993" customHeight="1" thickTop="1">
      <c r="A7" s="5"/>
      <c r="B7" s="331" t="s">
        <v>1</v>
      </c>
      <c r="C7" s="331"/>
      <c r="D7" s="332"/>
      <c r="E7" s="374" t="s">
        <v>2</v>
      </c>
      <c r="F7" s="372" t="s">
        <v>27</v>
      </c>
      <c r="G7" s="356"/>
      <c r="H7" s="355" t="s">
        <v>152</v>
      </c>
      <c r="I7" s="356"/>
      <c r="J7" s="206"/>
      <c r="K7" s="206"/>
      <c r="L7" s="206"/>
      <c r="M7" s="206"/>
      <c r="N7" s="206"/>
    </row>
    <row r="8" spans="1:18" ht="9.9499999999999993" customHeight="1" thickBot="1">
      <c r="A8" s="6"/>
      <c r="B8" s="333"/>
      <c r="C8" s="333"/>
      <c r="D8" s="334"/>
      <c r="E8" s="375"/>
      <c r="F8" s="373"/>
      <c r="G8" s="358"/>
      <c r="H8" s="357"/>
      <c r="I8" s="358"/>
      <c r="J8" s="207"/>
      <c r="K8" s="206"/>
      <c r="L8" s="206"/>
      <c r="M8" s="206"/>
      <c r="N8" s="206"/>
    </row>
    <row r="9" spans="1:18" ht="16.5" customHeight="1" thickTop="1">
      <c r="A9" s="6"/>
      <c r="B9" s="333"/>
      <c r="C9" s="333"/>
      <c r="D9" s="334"/>
      <c r="E9" s="328" t="s">
        <v>101</v>
      </c>
      <c r="F9" s="337" t="s">
        <v>171</v>
      </c>
      <c r="G9" s="325" t="s">
        <v>172</v>
      </c>
      <c r="H9" s="337" t="s">
        <v>171</v>
      </c>
      <c r="I9" s="325" t="s">
        <v>172</v>
      </c>
      <c r="J9" s="366" t="s">
        <v>173</v>
      </c>
      <c r="K9" s="369" t="s">
        <v>174</v>
      </c>
      <c r="L9" s="363" t="s">
        <v>77</v>
      </c>
      <c r="M9" s="360" t="s">
        <v>100</v>
      </c>
      <c r="N9" s="352" t="s">
        <v>112</v>
      </c>
    </row>
    <row r="10" spans="1:18" ht="15" customHeight="1">
      <c r="A10" s="6"/>
      <c r="B10" s="333"/>
      <c r="C10" s="333"/>
      <c r="D10" s="334"/>
      <c r="E10" s="329"/>
      <c r="F10" s="338"/>
      <c r="G10" s="326"/>
      <c r="H10" s="338"/>
      <c r="I10" s="326"/>
      <c r="J10" s="367"/>
      <c r="K10" s="370"/>
      <c r="L10" s="364"/>
      <c r="M10" s="361"/>
      <c r="N10" s="353"/>
    </row>
    <row r="11" spans="1:18" ht="32.25" customHeight="1" thickBot="1">
      <c r="A11" s="44"/>
      <c r="B11" s="335"/>
      <c r="C11" s="335"/>
      <c r="D11" s="336"/>
      <c r="E11" s="330"/>
      <c r="F11" s="339"/>
      <c r="G11" s="327"/>
      <c r="H11" s="339"/>
      <c r="I11" s="327"/>
      <c r="J11" s="368"/>
      <c r="K11" s="371"/>
      <c r="L11" s="365"/>
      <c r="M11" s="362"/>
      <c r="N11" s="354"/>
    </row>
    <row r="12" spans="1:18" s="19" customFormat="1" ht="25.5" customHeight="1" thickTop="1">
      <c r="A12" s="66"/>
      <c r="B12" s="340" t="s">
        <v>98</v>
      </c>
      <c r="C12" s="341"/>
      <c r="D12" s="341"/>
      <c r="E12" s="203"/>
      <c r="F12" s="212"/>
      <c r="G12" s="211"/>
      <c r="H12" s="228"/>
      <c r="I12" s="211"/>
      <c r="J12" s="204"/>
      <c r="K12" s="204"/>
      <c r="L12" s="203"/>
      <c r="M12" s="203"/>
      <c r="N12" s="205"/>
      <c r="P12" s="316"/>
      <c r="R12" s="316"/>
    </row>
    <row r="13" spans="1:18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  <c r="P13" s="13"/>
      <c r="Q13" s="13"/>
      <c r="R13" s="13"/>
    </row>
    <row r="14" spans="1:18" s="7" customFormat="1" ht="14.25">
      <c r="A14" s="67">
        <v>2</v>
      </c>
      <c r="B14" s="128"/>
      <c r="C14" s="129" t="s">
        <v>41</v>
      </c>
      <c r="D14" s="129"/>
      <c r="E14" s="130" t="s">
        <v>131</v>
      </c>
      <c r="F14" s="131">
        <f>7.85+19660.47</f>
        <v>19668.32</v>
      </c>
      <c r="G14" s="132">
        <v>21368</v>
      </c>
      <c r="H14" s="229"/>
      <c r="I14" s="132"/>
      <c r="J14" s="133">
        <f>H14+F14</f>
        <v>19668.32</v>
      </c>
      <c r="K14" s="133">
        <f t="shared" ref="J14:K19" si="0">I14+G14</f>
        <v>21368</v>
      </c>
      <c r="L14" s="134">
        <f t="shared" ref="L14:L23" si="1">K14/$K$83</f>
        <v>1.7220621646066743E-3</v>
      </c>
      <c r="M14" s="134">
        <f t="shared" ref="M14:M20" si="2">J14/K14</f>
        <v>0.92045675776862601</v>
      </c>
      <c r="N14" s="135"/>
    </row>
    <row r="15" spans="1:18" s="7" customFormat="1" ht="14.25">
      <c r="A15" s="67">
        <v>3</v>
      </c>
      <c r="B15" s="45"/>
      <c r="C15" s="46" t="s">
        <v>118</v>
      </c>
      <c r="D15" s="46"/>
      <c r="E15" s="79" t="s">
        <v>132</v>
      </c>
      <c r="F15" s="99"/>
      <c r="G15" s="95"/>
      <c r="H15" s="230">
        <v>27.35</v>
      </c>
      <c r="I15" s="94"/>
      <c r="J15" s="80">
        <f t="shared" si="0"/>
        <v>27.35</v>
      </c>
      <c r="K15" s="80">
        <f t="shared" si="0"/>
        <v>0</v>
      </c>
      <c r="L15" s="81">
        <f t="shared" si="1"/>
        <v>0</v>
      </c>
      <c r="M15" s="81" t="e">
        <f t="shared" si="2"/>
        <v>#DIV/0!</v>
      </c>
      <c r="N15" s="76"/>
    </row>
    <row r="16" spans="1:18" s="7" customFormat="1" ht="14.25">
      <c r="A16" s="67">
        <v>4</v>
      </c>
      <c r="B16" s="45"/>
      <c r="C16" s="46" t="s">
        <v>43</v>
      </c>
      <c r="D16" s="46"/>
      <c r="E16" s="79">
        <v>1920</v>
      </c>
      <c r="F16" s="98">
        <f>1500-3148+9049.87+32788.85</f>
        <v>40190.720000000001</v>
      </c>
      <c r="G16" s="94">
        <v>10000</v>
      </c>
      <c r="H16" s="230"/>
      <c r="I16" s="94"/>
      <c r="J16" s="80">
        <f t="shared" si="0"/>
        <v>40190.720000000001</v>
      </c>
      <c r="K16" s="80">
        <f t="shared" si="0"/>
        <v>10000</v>
      </c>
      <c r="L16" s="81">
        <f t="shared" si="1"/>
        <v>8.0590704071821148E-4</v>
      </c>
      <c r="M16" s="81">
        <f t="shared" si="2"/>
        <v>4.0190720000000004</v>
      </c>
      <c r="N16" s="76"/>
    </row>
    <row r="17" spans="1:14" s="7" customFormat="1" ht="14.25">
      <c r="A17" s="67">
        <v>5</v>
      </c>
      <c r="B17" s="45"/>
      <c r="C17" s="46" t="s">
        <v>119</v>
      </c>
      <c r="D17" s="46"/>
      <c r="E17" s="79">
        <v>1993</v>
      </c>
      <c r="F17" s="98">
        <f>7824.25</f>
        <v>7824.25</v>
      </c>
      <c r="G17" s="94">
        <f>1117*12</f>
        <v>13404</v>
      </c>
      <c r="H17" s="230"/>
      <c r="I17" s="94"/>
      <c r="J17" s="80">
        <f>H17+F17</f>
        <v>7824.25</v>
      </c>
      <c r="K17" s="80">
        <f>I17+G17</f>
        <v>13404</v>
      </c>
      <c r="L17" s="81">
        <f t="shared" si="1"/>
        <v>1.0802377973786906E-3</v>
      </c>
      <c r="M17" s="81">
        <f>J17/K17</f>
        <v>0.58372500746045952</v>
      </c>
      <c r="N17" s="76"/>
    </row>
    <row r="18" spans="1:14" s="7" customFormat="1" ht="14.25">
      <c r="A18" s="67">
        <v>6</v>
      </c>
      <c r="B18" s="45"/>
      <c r="C18" s="46" t="s">
        <v>154</v>
      </c>
      <c r="D18" s="46"/>
      <c r="E18" s="79">
        <v>1994</v>
      </c>
      <c r="F18" s="98">
        <f>3758262</f>
        <v>3758262</v>
      </c>
      <c r="G18" s="94">
        <f>5099906-4809+761180</f>
        <v>5856277</v>
      </c>
      <c r="H18" s="181"/>
      <c r="I18" s="175"/>
      <c r="J18" s="80">
        <f t="shared" si="0"/>
        <v>3758262</v>
      </c>
      <c r="K18" s="80">
        <f t="shared" si="0"/>
        <v>5856277</v>
      </c>
      <c r="L18" s="81">
        <f t="shared" si="1"/>
        <v>0.47196148666961252</v>
      </c>
      <c r="M18" s="81">
        <f t="shared" si="2"/>
        <v>0.64174935714277181</v>
      </c>
      <c r="N18" s="76"/>
    </row>
    <row r="19" spans="1:14" s="7" customFormat="1" ht="14.25">
      <c r="A19" s="67">
        <v>7</v>
      </c>
      <c r="B19" s="45"/>
      <c r="C19" s="46" t="s">
        <v>130</v>
      </c>
      <c r="D19" s="46"/>
      <c r="E19" s="79" t="s">
        <v>111</v>
      </c>
      <c r="F19" s="98">
        <f>120+2505+2150+1000</f>
        <v>5775</v>
      </c>
      <c r="G19" s="94"/>
      <c r="H19" s="230"/>
      <c r="I19" s="94"/>
      <c r="J19" s="80">
        <f t="shared" si="0"/>
        <v>5775</v>
      </c>
      <c r="K19" s="80">
        <f t="shared" si="0"/>
        <v>0</v>
      </c>
      <c r="L19" s="81">
        <f t="shared" si="1"/>
        <v>0</v>
      </c>
      <c r="M19" s="81" t="e">
        <f t="shared" si="2"/>
        <v>#DIV/0!</v>
      </c>
      <c r="N19" s="76"/>
    </row>
    <row r="20" spans="1:14" s="7" customFormat="1" ht="14.25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>
        <f t="shared" si="1"/>
        <v>0</v>
      </c>
      <c r="M20" s="81" t="e">
        <f t="shared" si="2"/>
        <v>#DIV/0!</v>
      </c>
      <c r="N20" s="76"/>
    </row>
    <row r="21" spans="1:14" s="8" customFormat="1" ht="12.75">
      <c r="A21" s="67">
        <v>9</v>
      </c>
      <c r="B21" s="47"/>
      <c r="C21" s="48" t="s">
        <v>76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>
        <f t="shared" si="1"/>
        <v>0</v>
      </c>
      <c r="M21" s="81" t="e">
        <f>J21/K21</f>
        <v>#DIV/0!</v>
      </c>
      <c r="N21" s="76"/>
    </row>
    <row r="22" spans="1:14" s="7" customFormat="1" ht="14.25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>
        <f t="shared" si="1"/>
        <v>0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44</v>
      </c>
      <c r="C23" s="52"/>
      <c r="D23" s="52"/>
      <c r="E23" s="86"/>
      <c r="F23" s="101">
        <f>SUM(F14:F22)</f>
        <v>3831720.29</v>
      </c>
      <c r="G23" s="97">
        <f>SUM(G14:G22)</f>
        <v>5901049</v>
      </c>
      <c r="H23" s="232">
        <f>SUM(H14:H22)</f>
        <v>27.35</v>
      </c>
      <c r="I23" s="97">
        <f>SUM(I14:I22)</f>
        <v>0</v>
      </c>
      <c r="J23" s="87">
        <f>H23+F23</f>
        <v>3831747.64</v>
      </c>
      <c r="K23" s="87">
        <f>I23+G23</f>
        <v>5901049</v>
      </c>
      <c r="L23" s="88">
        <f t="shared" si="1"/>
        <v>0.47556969367231611</v>
      </c>
      <c r="M23" s="88">
        <f>J23/K23</f>
        <v>0.6493333032821792</v>
      </c>
      <c r="N23" s="77"/>
    </row>
    <row r="24" spans="1:14" s="7" customFormat="1" ht="14.25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45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.25">
      <c r="A26" s="67">
        <v>14</v>
      </c>
      <c r="B26" s="128"/>
      <c r="C26" s="129" t="s">
        <v>46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25">
      <c r="A27" s="67">
        <v>15</v>
      </c>
      <c r="B27" s="45"/>
      <c r="C27" s="46"/>
      <c r="D27" s="53" t="s">
        <v>47</v>
      </c>
      <c r="E27" s="79">
        <v>3110</v>
      </c>
      <c r="F27" s="98">
        <v>5030297</v>
      </c>
      <c r="G27" s="94">
        <f>4049284+30090+551600</f>
        <v>4630974</v>
      </c>
      <c r="H27" s="293"/>
      <c r="I27" s="294"/>
      <c r="J27" s="217">
        <f>H27+F27</f>
        <v>5030297</v>
      </c>
      <c r="K27" s="80">
        <f t="shared" si="3"/>
        <v>4630974</v>
      </c>
      <c r="L27" s="81">
        <f>K27/$K$83</f>
        <v>0.37321345519829785</v>
      </c>
      <c r="M27" s="81">
        <f>J27/K27</f>
        <v>1.0862287285568868</v>
      </c>
      <c r="N27" s="76"/>
    </row>
    <row r="28" spans="1:14" s="7" customFormat="1" ht="14.25">
      <c r="A28" s="67">
        <v>16</v>
      </c>
      <c r="B28" s="45"/>
      <c r="C28" s="46"/>
      <c r="D28" s="53" t="s">
        <v>186</v>
      </c>
      <c r="E28" s="79">
        <v>3110</v>
      </c>
      <c r="F28" s="98">
        <v>17326</v>
      </c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.25">
      <c r="A29" s="67">
        <v>17</v>
      </c>
      <c r="B29" s="45"/>
      <c r="C29" s="46"/>
      <c r="D29" s="46" t="s">
        <v>48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>
        <f t="shared" ref="L29:L41" si="4">K29/$K$83</f>
        <v>0</v>
      </c>
      <c r="M29" s="81" t="e">
        <f>J29/K29</f>
        <v>#DIV/0!</v>
      </c>
      <c r="N29" s="76"/>
    </row>
    <row r="30" spans="1:14" s="7" customFormat="1" ht="14.25">
      <c r="A30" s="67">
        <v>18</v>
      </c>
      <c r="B30" s="45"/>
      <c r="C30" s="46" t="s">
        <v>49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>
        <f t="shared" si="4"/>
        <v>0</v>
      </c>
      <c r="M30" s="81" t="e">
        <f>J30/K30</f>
        <v>#DIV/0!</v>
      </c>
      <c r="N30" s="78"/>
    </row>
    <row r="31" spans="1:14" s="7" customFormat="1" ht="14.25">
      <c r="A31" s="67">
        <v>19</v>
      </c>
      <c r="B31" s="45"/>
      <c r="C31" s="46"/>
      <c r="D31" s="46" t="s">
        <v>50</v>
      </c>
      <c r="E31" s="79">
        <v>3220</v>
      </c>
      <c r="F31" s="98"/>
      <c r="G31" s="94"/>
      <c r="H31" s="230">
        <f>8441.75</f>
        <v>8441.75</v>
      </c>
      <c r="I31" s="94">
        <v>12114</v>
      </c>
      <c r="J31" s="80">
        <f t="shared" si="3"/>
        <v>8441.75</v>
      </c>
      <c r="K31" s="80">
        <f t="shared" si="3"/>
        <v>12114</v>
      </c>
      <c r="L31" s="81">
        <f t="shared" si="4"/>
        <v>9.7627578912604139E-4</v>
      </c>
      <c r="M31" s="81">
        <f t="shared" ref="M31:M41" si="5">J31/K31</f>
        <v>0.6968590061086346</v>
      </c>
      <c r="N31" s="76"/>
    </row>
    <row r="32" spans="1:14" s="7" customFormat="1" ht="14.25">
      <c r="A32" s="67">
        <v>20</v>
      </c>
      <c r="B32" s="45"/>
      <c r="C32" s="46"/>
      <c r="D32" s="46" t="s">
        <v>51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>
        <f t="shared" si="4"/>
        <v>0</v>
      </c>
      <c r="M32" s="81" t="e">
        <f t="shared" si="5"/>
        <v>#DIV/0!</v>
      </c>
      <c r="N32" s="76"/>
    </row>
    <row r="33" spans="1:14" s="7" customFormat="1" ht="14.25">
      <c r="A33" s="67">
        <v>21</v>
      </c>
      <c r="B33" s="45"/>
      <c r="C33" s="46"/>
      <c r="D33" s="46" t="s">
        <v>103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>
        <f t="shared" si="4"/>
        <v>0</v>
      </c>
      <c r="M33" s="81" t="e">
        <f t="shared" si="5"/>
        <v>#DIV/0!</v>
      </c>
      <c r="N33" s="76"/>
    </row>
    <row r="34" spans="1:14" s="7" customFormat="1" ht="14.25">
      <c r="A34" s="67">
        <v>22</v>
      </c>
      <c r="B34" s="182"/>
      <c r="C34" s="183"/>
      <c r="D34" s="183" t="s">
        <v>126</v>
      </c>
      <c r="E34" s="79">
        <v>3290</v>
      </c>
      <c r="F34" s="98"/>
      <c r="G34" s="94"/>
      <c r="H34" s="230">
        <v>166054</v>
      </c>
      <c r="I34" s="94">
        <v>167455</v>
      </c>
      <c r="J34" s="80">
        <f t="shared" si="3"/>
        <v>166054</v>
      </c>
      <c r="K34" s="80">
        <f t="shared" si="3"/>
        <v>167455</v>
      </c>
      <c r="L34" s="81">
        <f t="shared" si="4"/>
        <v>1.3495316350346811E-2</v>
      </c>
      <c r="M34" s="81">
        <f>J34/K34</f>
        <v>0.99163357319876977</v>
      </c>
      <c r="N34" s="76"/>
    </row>
    <row r="35" spans="1:14" s="7" customFormat="1" ht="14.25">
      <c r="A35" s="67">
        <v>23</v>
      </c>
      <c r="B35" s="182"/>
      <c r="C35" s="183"/>
      <c r="D35" s="183" t="s">
        <v>157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>
        <f t="shared" si="4"/>
        <v>0</v>
      </c>
      <c r="M35" s="81" t="e">
        <f>J35/K35</f>
        <v>#DIV/0!</v>
      </c>
      <c r="N35" s="76"/>
    </row>
    <row r="36" spans="1:14" s="7" customFormat="1" ht="14.25">
      <c r="A36" s="67">
        <v>24</v>
      </c>
      <c r="B36" s="49"/>
      <c r="C36" s="50"/>
      <c r="D36" s="50" t="s">
        <v>179</v>
      </c>
      <c r="E36" s="79">
        <v>3290</v>
      </c>
      <c r="F36" s="98"/>
      <c r="G36" s="94"/>
      <c r="H36" s="230">
        <v>3560</v>
      </c>
      <c r="I36" s="94">
        <v>10000</v>
      </c>
      <c r="J36" s="80">
        <f>H36+F36</f>
        <v>3560</v>
      </c>
      <c r="K36" s="80">
        <f>I36+G36</f>
        <v>10000</v>
      </c>
      <c r="L36" s="81">
        <f t="shared" si="4"/>
        <v>8.0590704071821148E-4</v>
      </c>
      <c r="M36" s="81">
        <f>J36/K36</f>
        <v>0.35599999999999998</v>
      </c>
      <c r="N36" s="76"/>
    </row>
    <row r="37" spans="1:14" s="7" customFormat="1" ht="14.25">
      <c r="A37" s="67">
        <v>25</v>
      </c>
      <c r="B37" s="49"/>
      <c r="C37" s="50"/>
      <c r="D37" s="50" t="s">
        <v>182</v>
      </c>
      <c r="E37" s="79">
        <v>3290</v>
      </c>
      <c r="F37" s="98"/>
      <c r="G37" s="94"/>
      <c r="H37" s="230">
        <v>54181</v>
      </c>
      <c r="I37" s="94"/>
      <c r="J37" s="80">
        <f>H37+F37</f>
        <v>54181</v>
      </c>
      <c r="K37" s="80">
        <f>I37+G37</f>
        <v>0</v>
      </c>
      <c r="L37" s="81">
        <f t="shared" si="4"/>
        <v>0</v>
      </c>
      <c r="M37" s="81" t="e">
        <f>J37/K37</f>
        <v>#DIV/0!</v>
      </c>
      <c r="N37" s="76"/>
    </row>
    <row r="38" spans="1:14" s="7" customFormat="1" ht="14.25">
      <c r="A38" s="67">
        <v>26</v>
      </c>
      <c r="B38" s="49"/>
      <c r="C38" s="50"/>
      <c r="D38" s="50" t="s">
        <v>185</v>
      </c>
      <c r="E38" s="79">
        <v>3290</v>
      </c>
      <c r="F38" s="98"/>
      <c r="G38" s="94"/>
      <c r="H38" s="230">
        <v>8173</v>
      </c>
      <c r="I38" s="94"/>
      <c r="J38" s="80">
        <f t="shared" si="3"/>
        <v>8173</v>
      </c>
      <c r="K38" s="80">
        <f t="shared" si="3"/>
        <v>0</v>
      </c>
      <c r="L38" s="81">
        <f t="shared" si="4"/>
        <v>0</v>
      </c>
      <c r="M38" s="81" t="e">
        <f t="shared" si="5"/>
        <v>#DIV/0!</v>
      </c>
      <c r="N38" s="76"/>
    </row>
    <row r="39" spans="1:14" s="8" customFormat="1" ht="12.75">
      <c r="A39" s="67">
        <v>27</v>
      </c>
      <c r="B39" s="47"/>
      <c r="C39" s="48" t="s">
        <v>76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>
        <f t="shared" si="4"/>
        <v>0</v>
      </c>
      <c r="M39" s="81" t="e">
        <f t="shared" si="5"/>
        <v>#DIV/0!</v>
      </c>
      <c r="N39" s="76"/>
    </row>
    <row r="40" spans="1:14" s="7" customFormat="1" ht="14.25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>
        <f t="shared" si="4"/>
        <v>0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52</v>
      </c>
      <c r="C41" s="197"/>
      <c r="D41" s="197"/>
      <c r="E41" s="198"/>
      <c r="F41" s="199">
        <f>SUM(F27:F40)</f>
        <v>5047623</v>
      </c>
      <c r="G41" s="200">
        <f>SUM(G27:G40)</f>
        <v>4630974</v>
      </c>
      <c r="H41" s="234">
        <f>SUM(H27:H40)</f>
        <v>240409.75</v>
      </c>
      <c r="I41" s="200">
        <f>SUM(I27:I40)</f>
        <v>189569</v>
      </c>
      <c r="J41" s="201">
        <f t="shared" si="3"/>
        <v>5288032.75</v>
      </c>
      <c r="K41" s="201">
        <f t="shared" si="3"/>
        <v>4820543</v>
      </c>
      <c r="L41" s="202">
        <f t="shared" si="4"/>
        <v>0.38849095437848891</v>
      </c>
      <c r="M41" s="202">
        <f t="shared" si="5"/>
        <v>1.096978649500689</v>
      </c>
      <c r="N41" s="191"/>
    </row>
    <row r="42" spans="1:14" s="9" customFormat="1" thickTop="1">
      <c r="A42" s="12"/>
      <c r="E42" s="10"/>
      <c r="K42" s="39"/>
      <c r="L42" s="11"/>
      <c r="M42" s="11"/>
      <c r="N42" s="11"/>
    </row>
    <row r="43" spans="1:14" s="9" customFormat="1" ht="14.25">
      <c r="A43" s="12"/>
      <c r="E43" s="10"/>
      <c r="K43" s="39"/>
      <c r="L43" s="11"/>
      <c r="M43" s="11"/>
      <c r="N43" s="11"/>
    </row>
    <row r="44" spans="1:14" s="9" customFormat="1" ht="14.25">
      <c r="A44" s="12"/>
      <c r="E44" s="10"/>
      <c r="K44" s="39"/>
      <c r="L44" s="11"/>
      <c r="M44" s="11"/>
      <c r="N44" s="11"/>
    </row>
    <row r="45" spans="1:14" s="9" customFormat="1" ht="46.5" customHeight="1">
      <c r="A45" s="359" t="s">
        <v>166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53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.25">
      <c r="A48" s="68">
        <v>31</v>
      </c>
      <c r="B48" s="129"/>
      <c r="C48" s="129" t="s">
        <v>54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.25">
      <c r="A49" s="68">
        <v>32</v>
      </c>
      <c r="B49" s="46"/>
      <c r="C49" s="46"/>
      <c r="D49" s="46" t="s">
        <v>120</v>
      </c>
      <c r="E49" s="79">
        <v>4110</v>
      </c>
      <c r="F49" s="98"/>
      <c r="G49" s="94"/>
      <c r="H49" s="98"/>
      <c r="I49" s="94"/>
      <c r="J49" s="89">
        <f t="shared" ref="J49:K82" si="6">H49+F49</f>
        <v>0</v>
      </c>
      <c r="K49" s="89">
        <f t="shared" si="6"/>
        <v>0</v>
      </c>
      <c r="L49" s="105">
        <f t="shared" ref="L49:L78" si="7">K49/$K$83</f>
        <v>0</v>
      </c>
      <c r="M49" s="105" t="e">
        <f t="shared" ref="M49:M115" si="8">J49/K49</f>
        <v>#DIV/0!</v>
      </c>
      <c r="N49" s="76"/>
    </row>
    <row r="50" spans="1:14" s="7" customFormat="1" ht="14.25">
      <c r="A50" s="68">
        <v>33</v>
      </c>
      <c r="B50" s="46"/>
      <c r="C50" s="46"/>
      <c r="D50" s="46" t="s">
        <v>133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>
        <f t="shared" si="7"/>
        <v>0</v>
      </c>
      <c r="M50" s="105" t="e">
        <f>J50/K50</f>
        <v>#DIV/0!</v>
      </c>
      <c r="N50" s="76"/>
    </row>
    <row r="51" spans="1:14" s="7" customFormat="1" ht="14.25">
      <c r="A51" s="68">
        <v>34</v>
      </c>
      <c r="B51" s="46"/>
      <c r="C51" s="46" t="s">
        <v>55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>
        <f t="shared" si="7"/>
        <v>0</v>
      </c>
      <c r="M51" s="105" t="e">
        <f>J51/K51</f>
        <v>#DIV/0!</v>
      </c>
      <c r="N51" s="104"/>
    </row>
    <row r="52" spans="1:14" s="7" customFormat="1" ht="14.25">
      <c r="A52" s="68">
        <v>35</v>
      </c>
      <c r="B52" s="46"/>
      <c r="C52" s="46"/>
      <c r="D52" s="46" t="s">
        <v>121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>
        <f t="shared" si="7"/>
        <v>0</v>
      </c>
      <c r="M52" s="105" t="e">
        <f>J52/K52</f>
        <v>#DIV/0!</v>
      </c>
      <c r="N52" s="104"/>
    </row>
    <row r="53" spans="1:14" s="7" customFormat="1" ht="14.25">
      <c r="A53" s="68">
        <v>36</v>
      </c>
      <c r="B53" s="46"/>
      <c r="C53" s="46"/>
      <c r="D53" s="46" t="s">
        <v>56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>
        <f t="shared" si="7"/>
        <v>0</v>
      </c>
      <c r="M53" s="105" t="e">
        <f t="shared" si="8"/>
        <v>#DIV/0!</v>
      </c>
      <c r="N53" s="76"/>
    </row>
    <row r="54" spans="1:14" s="7" customFormat="1" ht="14.25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>
        <f t="shared" si="7"/>
        <v>0</v>
      </c>
      <c r="M54" s="105" t="e">
        <f t="shared" si="8"/>
        <v>#DIV/0!</v>
      </c>
      <c r="N54" s="76"/>
    </row>
    <row r="55" spans="1:14" s="7" customFormat="1" ht="14.25">
      <c r="A55" s="68">
        <v>38</v>
      </c>
      <c r="B55" s="46" t="s">
        <v>57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>
        <f t="shared" si="7"/>
        <v>0</v>
      </c>
      <c r="M55" s="105" t="e">
        <f>J55/K55</f>
        <v>#DIV/0!</v>
      </c>
      <c r="N55" s="104"/>
    </row>
    <row r="56" spans="1:14" s="7" customFormat="1" ht="14.25">
      <c r="A56" s="68">
        <v>39</v>
      </c>
      <c r="B56" s="46"/>
      <c r="C56" s="46"/>
      <c r="D56" s="46" t="s">
        <v>180</v>
      </c>
      <c r="E56" s="107">
        <v>4510</v>
      </c>
      <c r="F56" s="179"/>
      <c r="G56" s="173"/>
      <c r="H56" s="98">
        <v>20828.18</v>
      </c>
      <c r="I56" s="94">
        <v>14000</v>
      </c>
      <c r="J56" s="89">
        <f t="shared" si="10"/>
        <v>20828.18</v>
      </c>
      <c r="K56" s="89">
        <f t="shared" si="10"/>
        <v>14000</v>
      </c>
      <c r="L56" s="105">
        <f t="shared" si="7"/>
        <v>1.128269857005496E-3</v>
      </c>
      <c r="M56" s="105">
        <f>J56/K56</f>
        <v>1.4877271428571428</v>
      </c>
      <c r="N56" s="76"/>
    </row>
    <row r="57" spans="1:14" s="7" customFormat="1" ht="14.25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>
        <f>10596.36+576676.98</f>
        <v>587273.34</v>
      </c>
      <c r="I57" s="94">
        <f>604891</f>
        <v>604891</v>
      </c>
      <c r="J57" s="89">
        <f t="shared" si="6"/>
        <v>587273.34</v>
      </c>
      <c r="K57" s="89">
        <f t="shared" si="6"/>
        <v>604891</v>
      </c>
      <c r="L57" s="105">
        <f t="shared" si="7"/>
        <v>4.8748591576707967E-2</v>
      </c>
      <c r="M57" s="105">
        <f t="shared" si="8"/>
        <v>0.97087465344996038</v>
      </c>
      <c r="N57" s="76"/>
    </row>
    <row r="58" spans="1:14" s="7" customFormat="1" ht="14.25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>
        <f t="shared" si="7"/>
        <v>0</v>
      </c>
      <c r="M58" s="105" t="e">
        <f>J58/K58</f>
        <v>#DIV/0!</v>
      </c>
      <c r="N58" s="104"/>
    </row>
    <row r="59" spans="1:14" s="7" customFormat="1" ht="14.25">
      <c r="A59" s="68">
        <v>42</v>
      </c>
      <c r="B59" s="46"/>
      <c r="C59" s="46"/>
      <c r="D59" s="46" t="s">
        <v>58</v>
      </c>
      <c r="E59" s="107" t="s">
        <v>59</v>
      </c>
      <c r="F59" s="179"/>
      <c r="G59" s="173"/>
      <c r="H59" s="98">
        <f>137788</f>
        <v>137788</v>
      </c>
      <c r="I59" s="94">
        <v>157928</v>
      </c>
      <c r="J59" s="89">
        <f t="shared" si="6"/>
        <v>137788</v>
      </c>
      <c r="K59" s="89">
        <f t="shared" si="6"/>
        <v>157928</v>
      </c>
      <c r="L59" s="105">
        <f t="shared" si="7"/>
        <v>1.2727528712654569E-2</v>
      </c>
      <c r="M59" s="105">
        <f t="shared" si="8"/>
        <v>0.87247353224254087</v>
      </c>
      <c r="N59" s="76"/>
    </row>
    <row r="60" spans="1:14" s="7" customFormat="1" ht="14.25">
      <c r="A60" s="68">
        <v>43</v>
      </c>
      <c r="B60" s="46"/>
      <c r="C60" s="46"/>
      <c r="D60" s="46" t="s">
        <v>60</v>
      </c>
      <c r="E60" s="107" t="s">
        <v>61</v>
      </c>
      <c r="F60" s="179"/>
      <c r="G60" s="173"/>
      <c r="H60" s="98">
        <v>600</v>
      </c>
      <c r="I60" s="94">
        <v>2174</v>
      </c>
      <c r="J60" s="89">
        <f t="shared" si="6"/>
        <v>600</v>
      </c>
      <c r="K60" s="89">
        <f t="shared" si="6"/>
        <v>2174</v>
      </c>
      <c r="L60" s="105">
        <f t="shared" si="7"/>
        <v>1.7520419065213916E-4</v>
      </c>
      <c r="M60" s="105">
        <f t="shared" si="8"/>
        <v>0.27598896044158233</v>
      </c>
      <c r="N60" s="76"/>
    </row>
    <row r="61" spans="1:14" s="7" customFormat="1" ht="14.25">
      <c r="A61" s="68">
        <v>44</v>
      </c>
      <c r="B61" s="46"/>
      <c r="C61" s="46"/>
      <c r="D61" s="46" t="s">
        <v>62</v>
      </c>
      <c r="E61" s="107" t="s">
        <v>63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>
        <f t="shared" si="7"/>
        <v>0</v>
      </c>
      <c r="M61" s="105" t="e">
        <f t="shared" si="8"/>
        <v>#DIV/0!</v>
      </c>
      <c r="N61" s="76"/>
    </row>
    <row r="62" spans="1:14" s="7" customFormat="1" ht="14.25">
      <c r="A62" s="68">
        <v>45</v>
      </c>
      <c r="B62" s="46"/>
      <c r="C62" s="46"/>
      <c r="D62" s="46" t="s">
        <v>64</v>
      </c>
      <c r="E62" s="106"/>
      <c r="F62" s="179"/>
      <c r="G62" s="173"/>
      <c r="H62" s="99"/>
      <c r="I62" s="95"/>
      <c r="J62" s="89">
        <f>H62+F62</f>
        <v>0</v>
      </c>
      <c r="K62" s="89">
        <f>I62+G62</f>
        <v>0</v>
      </c>
      <c r="L62" s="105">
        <f t="shared" si="7"/>
        <v>0</v>
      </c>
      <c r="M62" s="105" t="e">
        <f>J62/K62</f>
        <v>#DIV/0!</v>
      </c>
      <c r="N62" s="104"/>
    </row>
    <row r="63" spans="1:14" s="7" customFormat="1" ht="14.25">
      <c r="A63" s="68">
        <v>46</v>
      </c>
      <c r="B63" s="46"/>
      <c r="C63" s="46"/>
      <c r="D63" s="46" t="s">
        <v>167</v>
      </c>
      <c r="E63" s="107" t="s">
        <v>65</v>
      </c>
      <c r="F63" s="179"/>
      <c r="G63" s="173"/>
      <c r="H63" s="98">
        <v>485911</v>
      </c>
      <c r="I63" s="94">
        <v>617294</v>
      </c>
      <c r="J63" s="89">
        <f t="shared" si="6"/>
        <v>485911</v>
      </c>
      <c r="K63" s="89">
        <f t="shared" si="6"/>
        <v>617294</v>
      </c>
      <c r="L63" s="105">
        <f t="shared" si="7"/>
        <v>4.974815807931076E-2</v>
      </c>
      <c r="M63" s="105">
        <f t="shared" si="8"/>
        <v>0.78716300498627878</v>
      </c>
      <c r="N63" s="76"/>
    </row>
    <row r="64" spans="1:14" s="7" customFormat="1" ht="14.25">
      <c r="A64" s="68">
        <v>47</v>
      </c>
      <c r="B64" s="46"/>
      <c r="C64" s="46"/>
      <c r="D64" s="46" t="s">
        <v>168</v>
      </c>
      <c r="E64" s="107">
        <v>4541</v>
      </c>
      <c r="F64" s="179"/>
      <c r="G64" s="173"/>
      <c r="H64" s="98">
        <v>58694</v>
      </c>
      <c r="I64" s="94">
        <f>16920+2310</f>
        <v>19230</v>
      </c>
      <c r="J64" s="89">
        <f t="shared" si="6"/>
        <v>58694</v>
      </c>
      <c r="K64" s="89">
        <f t="shared" si="6"/>
        <v>19230</v>
      </c>
      <c r="L64" s="105">
        <f t="shared" si="7"/>
        <v>1.5497592393011205E-3</v>
      </c>
      <c r="M64" s="105">
        <f t="shared" si="8"/>
        <v>3.0522100884035361</v>
      </c>
      <c r="N64" s="76"/>
    </row>
    <row r="65" spans="1:14" s="7" customFormat="1" ht="14.25">
      <c r="A65" s="68">
        <v>48</v>
      </c>
      <c r="B65" s="46"/>
      <c r="C65" s="46"/>
      <c r="D65" s="46" t="s">
        <v>66</v>
      </c>
      <c r="E65" s="107" t="s">
        <v>67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>
        <f t="shared" si="7"/>
        <v>0</v>
      </c>
      <c r="M65" s="105" t="e">
        <f t="shared" si="8"/>
        <v>#DIV/0!</v>
      </c>
      <c r="N65" s="76"/>
    </row>
    <row r="66" spans="1:14" s="7" customFormat="1" ht="14.25">
      <c r="A66" s="68">
        <v>49</v>
      </c>
      <c r="B66" s="46"/>
      <c r="C66" s="46"/>
      <c r="D66" s="46" t="s">
        <v>68</v>
      </c>
      <c r="E66" s="107" t="s">
        <v>69</v>
      </c>
      <c r="F66" s="179"/>
      <c r="G66" s="173"/>
      <c r="H66" s="98"/>
      <c r="I66" s="94">
        <v>11516</v>
      </c>
      <c r="J66" s="89">
        <f t="shared" si="6"/>
        <v>0</v>
      </c>
      <c r="K66" s="89">
        <f t="shared" si="6"/>
        <v>11516</v>
      </c>
      <c r="L66" s="105">
        <f t="shared" si="7"/>
        <v>9.2808254809109236E-4</v>
      </c>
      <c r="M66" s="105">
        <f t="shared" si="8"/>
        <v>0</v>
      </c>
      <c r="N66" s="76"/>
    </row>
    <row r="67" spans="1:14" s="7" customFormat="1" ht="14.25">
      <c r="A67" s="68">
        <v>50</v>
      </c>
      <c r="B67" s="46"/>
      <c r="C67" s="46"/>
      <c r="D67" s="46" t="s">
        <v>70</v>
      </c>
      <c r="E67" s="107" t="s">
        <v>71</v>
      </c>
      <c r="F67" s="179"/>
      <c r="G67" s="173"/>
      <c r="H67" s="98">
        <v>70835</v>
      </c>
      <c r="I67" s="94">
        <v>60809</v>
      </c>
      <c r="J67" s="89">
        <f t="shared" si="6"/>
        <v>70835</v>
      </c>
      <c r="K67" s="89">
        <f t="shared" si="6"/>
        <v>60809</v>
      </c>
      <c r="L67" s="105">
        <f t="shared" si="7"/>
        <v>4.9006401239033723E-3</v>
      </c>
      <c r="M67" s="105">
        <f t="shared" si="8"/>
        <v>1.1648769096679767</v>
      </c>
    </row>
    <row r="68" spans="1:14" s="7" customFormat="1" ht="14.25">
      <c r="A68" s="68">
        <v>51</v>
      </c>
      <c r="B68" s="46"/>
      <c r="C68" s="46"/>
      <c r="D68" s="46" t="s">
        <v>72</v>
      </c>
      <c r="E68" s="107">
        <v>4559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>
        <f t="shared" si="7"/>
        <v>0</v>
      </c>
      <c r="M68" s="105" t="e">
        <f t="shared" si="8"/>
        <v>#DIV/0!</v>
      </c>
      <c r="N68" s="76"/>
    </row>
    <row r="69" spans="1:14" s="7" customFormat="1" ht="14.25">
      <c r="A69" s="68">
        <v>52</v>
      </c>
      <c r="B69" s="46"/>
      <c r="C69" s="46"/>
      <c r="D69" s="46" t="s">
        <v>122</v>
      </c>
      <c r="E69" s="107">
        <v>4580</v>
      </c>
      <c r="F69" s="179"/>
      <c r="G69" s="173"/>
      <c r="H69" s="98"/>
      <c r="I69" s="94"/>
      <c r="J69" s="89">
        <f>H69+F69</f>
        <v>0</v>
      </c>
      <c r="K69" s="89">
        <f>I69+G69</f>
        <v>0</v>
      </c>
      <c r="L69" s="105">
        <f t="shared" si="7"/>
        <v>0</v>
      </c>
      <c r="M69" s="105" t="e">
        <f>J69/K69</f>
        <v>#DIV/0!</v>
      </c>
      <c r="N69" s="76"/>
    </row>
    <row r="70" spans="1:14" s="7" customFormat="1" ht="14.25">
      <c r="A70" s="68">
        <v>53</v>
      </c>
      <c r="B70" s="46"/>
      <c r="C70" s="46"/>
      <c r="D70" s="46" t="s">
        <v>128</v>
      </c>
      <c r="E70" s="107">
        <v>4590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>
        <f t="shared" si="7"/>
        <v>0</v>
      </c>
      <c r="M70" s="105" t="e">
        <f t="shared" si="8"/>
        <v>#DIV/0!</v>
      </c>
      <c r="N70" s="76"/>
    </row>
    <row r="71" spans="1:14" s="7" customFormat="1" ht="14.25">
      <c r="A71" s="68">
        <v>54</v>
      </c>
      <c r="B71" s="46"/>
      <c r="C71" s="46"/>
      <c r="D71" s="7" t="s">
        <v>129</v>
      </c>
      <c r="E71" s="107" t="s">
        <v>73</v>
      </c>
      <c r="F71" s="179"/>
      <c r="G71" s="173"/>
      <c r="H71" s="98"/>
      <c r="I71" s="94"/>
      <c r="J71" s="89">
        <f t="shared" si="6"/>
        <v>0</v>
      </c>
      <c r="K71" s="89">
        <f t="shared" si="6"/>
        <v>0</v>
      </c>
      <c r="L71" s="105">
        <f t="shared" si="7"/>
        <v>0</v>
      </c>
      <c r="M71" s="105" t="e">
        <f t="shared" si="8"/>
        <v>#DIV/0!</v>
      </c>
      <c r="N71" s="76"/>
    </row>
    <row r="72" spans="1:14" s="7" customFormat="1" ht="14.25">
      <c r="A72" s="68">
        <v>55</v>
      </c>
      <c r="B72" s="183"/>
      <c r="C72" s="183"/>
      <c r="D72" s="183" t="s">
        <v>127</v>
      </c>
      <c r="E72" s="79">
        <v>4590</v>
      </c>
      <c r="F72" s="179"/>
      <c r="G72" s="173"/>
      <c r="H72" s="98"/>
      <c r="I72" s="94"/>
      <c r="J72" s="89">
        <f t="shared" ref="J72:K74" si="11">H72+F72</f>
        <v>0</v>
      </c>
      <c r="K72" s="89">
        <f t="shared" si="11"/>
        <v>0</v>
      </c>
      <c r="L72" s="105">
        <f t="shared" si="7"/>
        <v>0</v>
      </c>
      <c r="M72" s="105" t="e">
        <f>J72/K72</f>
        <v>#DIV/0!</v>
      </c>
      <c r="N72" s="76"/>
    </row>
    <row r="73" spans="1:14" s="7" customFormat="1" ht="14.25">
      <c r="A73" s="68">
        <v>56</v>
      </c>
      <c r="B73" s="50"/>
      <c r="C73" s="50"/>
      <c r="D73" s="50" t="s">
        <v>181</v>
      </c>
      <c r="E73" s="79">
        <v>4590</v>
      </c>
      <c r="F73" s="179"/>
      <c r="G73" s="173"/>
      <c r="H73" s="98">
        <f>198192.25</f>
        <v>198192.25</v>
      </c>
      <c r="I73" s="94">
        <f>198945</f>
        <v>198945</v>
      </c>
      <c r="J73" s="89">
        <f t="shared" si="11"/>
        <v>198192.25</v>
      </c>
      <c r="K73" s="89">
        <f t="shared" si="11"/>
        <v>198945</v>
      </c>
      <c r="L73" s="105">
        <f t="shared" si="7"/>
        <v>1.6033117621568459E-2</v>
      </c>
      <c r="M73" s="105">
        <f>J73/K73</f>
        <v>0.99621629093468045</v>
      </c>
      <c r="N73" s="76"/>
    </row>
    <row r="74" spans="1:14" s="7" customFormat="1" ht="14.25">
      <c r="A74" s="68">
        <v>57</v>
      </c>
      <c r="B74" s="50"/>
      <c r="C74" s="50"/>
      <c r="D74" s="50" t="s">
        <v>183</v>
      </c>
      <c r="E74" s="79">
        <v>4590</v>
      </c>
      <c r="F74" s="178"/>
      <c r="G74" s="172"/>
      <c r="H74" s="98">
        <v>8268</v>
      </c>
      <c r="I74" s="94"/>
      <c r="J74" s="89">
        <f t="shared" si="11"/>
        <v>8268</v>
      </c>
      <c r="K74" s="89">
        <f t="shared" si="11"/>
        <v>0</v>
      </c>
      <c r="L74" s="105">
        <f t="shared" si="7"/>
        <v>0</v>
      </c>
      <c r="M74" s="105" t="e">
        <f>J74/K74</f>
        <v>#DIV/0!</v>
      </c>
      <c r="N74" s="76"/>
    </row>
    <row r="75" spans="1:14" s="7" customFormat="1" ht="14.25">
      <c r="A75" s="68">
        <v>58</v>
      </c>
      <c r="B75" s="48"/>
      <c r="C75" s="50"/>
      <c r="D75" s="50" t="s">
        <v>184</v>
      </c>
      <c r="E75" s="79">
        <v>4590</v>
      </c>
      <c r="F75" s="100"/>
      <c r="G75" s="96"/>
      <c r="H75" s="98">
        <v>27526</v>
      </c>
      <c r="I75" s="96"/>
      <c r="J75" s="89">
        <f t="shared" si="6"/>
        <v>27526</v>
      </c>
      <c r="K75" s="89">
        <f t="shared" si="6"/>
        <v>0</v>
      </c>
      <c r="L75" s="105">
        <f t="shared" si="7"/>
        <v>0</v>
      </c>
      <c r="M75" s="105" t="e">
        <f t="shared" si="8"/>
        <v>#DIV/0!</v>
      </c>
      <c r="N75" s="76"/>
    </row>
    <row r="76" spans="1:14" s="8" customFormat="1" ht="14.25" customHeight="1">
      <c r="A76" s="68">
        <v>59</v>
      </c>
      <c r="B76" s="48"/>
      <c r="C76" s="48"/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>
        <f t="shared" si="7"/>
        <v>0</v>
      </c>
      <c r="M76" s="105" t="e">
        <f t="shared" si="8"/>
        <v>#DIV/0!</v>
      </c>
      <c r="N76" s="76"/>
    </row>
    <row r="77" spans="1:14" s="8" customFormat="1" ht="14.25" customHeight="1">
      <c r="A77" s="68">
        <v>60</v>
      </c>
      <c r="B77" s="50"/>
      <c r="C77" s="50"/>
      <c r="D77" s="50"/>
      <c r="E77" s="93"/>
      <c r="F77" s="98"/>
      <c r="G77" s="94"/>
      <c r="H77" s="98"/>
      <c r="I77" s="94"/>
      <c r="J77" s="90">
        <f t="shared" si="6"/>
        <v>0</v>
      </c>
      <c r="K77" s="90">
        <f t="shared" si="6"/>
        <v>0</v>
      </c>
      <c r="L77" s="108">
        <f t="shared" si="7"/>
        <v>0</v>
      </c>
      <c r="M77" s="108" t="e">
        <f t="shared" si="8"/>
        <v>#DIV/0!</v>
      </c>
      <c r="N77" s="76"/>
    </row>
    <row r="78" spans="1:14" s="7" customFormat="1" ht="14.25">
      <c r="A78" s="193">
        <v>61</v>
      </c>
      <c r="B78" s="52" t="s">
        <v>74</v>
      </c>
      <c r="C78" s="52"/>
      <c r="D78" s="52"/>
      <c r="E78" s="109"/>
      <c r="F78" s="180">
        <f>SUM(F49:F77)</f>
        <v>0</v>
      </c>
      <c r="G78" s="174">
        <f>SUM(G49:G77)</f>
        <v>0</v>
      </c>
      <c r="H78" s="180">
        <f>SUM(H49:H77)</f>
        <v>1595915.77</v>
      </c>
      <c r="I78" s="174">
        <f>SUM(I49:I77)</f>
        <v>1686787</v>
      </c>
      <c r="J78" s="110">
        <f t="shared" si="6"/>
        <v>1595915.77</v>
      </c>
      <c r="K78" s="110">
        <f t="shared" si="6"/>
        <v>1686787</v>
      </c>
      <c r="L78" s="111">
        <f t="shared" si="7"/>
        <v>0.13593935194919499</v>
      </c>
      <c r="M78" s="111">
        <f t="shared" si="8"/>
        <v>0.94612762014409646</v>
      </c>
      <c r="N78" s="77"/>
    </row>
    <row r="79" spans="1:14" s="7" customFormat="1" ht="18" customHeight="1">
      <c r="A79" s="68">
        <v>62</v>
      </c>
      <c r="B79" s="46"/>
      <c r="C79" s="46"/>
      <c r="D79" s="46"/>
      <c r="E79" s="238"/>
      <c r="F79" s="239"/>
      <c r="G79" s="240"/>
      <c r="H79" s="239"/>
      <c r="I79" s="240"/>
      <c r="J79" s="241"/>
      <c r="K79" s="241"/>
      <c r="L79" s="242"/>
      <c r="M79" s="242"/>
      <c r="N79" s="243"/>
    </row>
    <row r="80" spans="1:14" s="7" customFormat="1" ht="14.25">
      <c r="A80" s="193">
        <v>63</v>
      </c>
      <c r="B80" s="52" t="s">
        <v>75</v>
      </c>
      <c r="C80" s="52"/>
      <c r="D80" s="52"/>
      <c r="E80" s="140"/>
      <c r="F80" s="235"/>
      <c r="G80" s="236"/>
      <c r="H80" s="235"/>
      <c r="I80" s="236"/>
      <c r="J80" s="237"/>
      <c r="K80" s="237"/>
      <c r="L80" s="142"/>
      <c r="M80" s="142"/>
      <c r="N80" s="151"/>
    </row>
    <row r="81" spans="1:14" s="13" customFormat="1" ht="18" customHeight="1">
      <c r="A81" s="68">
        <v>64</v>
      </c>
      <c r="B81" s="54"/>
      <c r="C81" s="55"/>
      <c r="D81" s="55"/>
      <c r="E81" s="113"/>
      <c r="F81" s="181"/>
      <c r="G81" s="175"/>
      <c r="H81" s="181"/>
      <c r="I81" s="175"/>
      <c r="J81" s="89">
        <f t="shared" si="6"/>
        <v>0</v>
      </c>
      <c r="K81" s="89">
        <f t="shared" si="6"/>
        <v>0</v>
      </c>
      <c r="L81" s="105">
        <f>K81/$K$83</f>
        <v>0</v>
      </c>
      <c r="M81" s="105" t="e">
        <f t="shared" si="8"/>
        <v>#DIV/0!</v>
      </c>
      <c r="N81" s="76"/>
    </row>
    <row r="82" spans="1:14" s="14" customFormat="1" ht="14.25">
      <c r="A82" s="68">
        <v>65</v>
      </c>
      <c r="B82" s="46"/>
      <c r="C82" s="50"/>
      <c r="D82" s="50"/>
      <c r="E82" s="114"/>
      <c r="F82" s="181"/>
      <c r="G82" s="175"/>
      <c r="H82" s="181"/>
      <c r="I82" s="175"/>
      <c r="J82" s="90">
        <f t="shared" si="6"/>
        <v>0</v>
      </c>
      <c r="K82" s="90">
        <f t="shared" si="6"/>
        <v>0</v>
      </c>
      <c r="L82" s="108">
        <f>K82/$K$83</f>
        <v>0</v>
      </c>
      <c r="M82" s="108" t="e">
        <f t="shared" si="8"/>
        <v>#DIV/0!</v>
      </c>
      <c r="N82" s="76"/>
    </row>
    <row r="83" spans="1:14" s="7" customFormat="1" ht="15.75" thickBot="1">
      <c r="A83" s="192">
        <v>66</v>
      </c>
      <c r="B83" s="264" t="s">
        <v>81</v>
      </c>
      <c r="C83" s="264"/>
      <c r="D83" s="264"/>
      <c r="E83" s="265"/>
      <c r="F83" s="266">
        <f t="shared" ref="F83:K83" si="12">F23+F41+F78+F81+F82</f>
        <v>8879343.2899999991</v>
      </c>
      <c r="G83" s="267">
        <f t="shared" si="12"/>
        <v>10532023</v>
      </c>
      <c r="H83" s="266">
        <f t="shared" si="12"/>
        <v>1836352.87</v>
      </c>
      <c r="I83" s="267">
        <f t="shared" si="12"/>
        <v>1876356</v>
      </c>
      <c r="J83" s="189">
        <f t="shared" si="12"/>
        <v>10715696.16</v>
      </c>
      <c r="K83" s="189">
        <f t="shared" si="12"/>
        <v>12408379</v>
      </c>
      <c r="L83" s="190">
        <f>K83/$K$83</f>
        <v>1</v>
      </c>
      <c r="M83" s="190">
        <f t="shared" si="8"/>
        <v>0.86358549815411023</v>
      </c>
      <c r="N83" s="191"/>
    </row>
    <row r="84" spans="1:14" s="16" customFormat="1" ht="17.25" customHeight="1" thickTop="1">
      <c r="A84" s="254"/>
      <c r="B84" s="323" t="s">
        <v>99</v>
      </c>
      <c r="C84" s="324"/>
      <c r="D84" s="324"/>
      <c r="E84" s="255"/>
      <c r="F84" s="256"/>
      <c r="G84" s="257"/>
      <c r="H84" s="258"/>
      <c r="I84" s="259"/>
      <c r="J84" s="260"/>
      <c r="K84" s="261"/>
      <c r="L84" s="262"/>
      <c r="M84" s="262"/>
      <c r="N84" s="263"/>
    </row>
    <row r="85" spans="1:14" s="18" customFormat="1" ht="22.5" customHeight="1">
      <c r="A85" s="210">
        <v>67</v>
      </c>
      <c r="B85" s="57"/>
      <c r="C85" s="163"/>
      <c r="D85" s="163" t="s">
        <v>82</v>
      </c>
      <c r="E85" s="244"/>
      <c r="F85" s="247"/>
      <c r="G85" s="246"/>
      <c r="H85" s="248"/>
      <c r="I85" s="246"/>
      <c r="J85" s="245"/>
      <c r="K85" s="245"/>
      <c r="L85" s="105"/>
      <c r="M85" s="105"/>
      <c r="N85" s="164"/>
    </row>
    <row r="86" spans="1:14" s="20" customFormat="1" ht="17.25" customHeight="1">
      <c r="A86" s="68">
        <v>68</v>
      </c>
      <c r="B86" s="58"/>
      <c r="C86" s="144" t="s">
        <v>31</v>
      </c>
      <c r="D86" s="145"/>
      <c r="E86" s="146"/>
      <c r="F86" s="147"/>
      <c r="G86" s="148"/>
      <c r="H86" s="149"/>
      <c r="I86" s="148"/>
      <c r="J86" s="150"/>
      <c r="K86" s="150"/>
      <c r="L86" s="142"/>
      <c r="M86" s="142"/>
      <c r="N86" s="151"/>
    </row>
    <row r="87" spans="1:14" s="20" customFormat="1" ht="15" customHeight="1">
      <c r="A87" s="68">
        <v>69</v>
      </c>
      <c r="B87" s="58"/>
      <c r="C87" s="59"/>
      <c r="D87" s="56" t="s">
        <v>28</v>
      </c>
      <c r="E87" s="115">
        <v>111</v>
      </c>
      <c r="F87" s="121">
        <f>103109.86</f>
        <v>103109.86</v>
      </c>
      <c r="G87" s="123">
        <f>106621+99807</f>
        <v>206428</v>
      </c>
      <c r="H87" s="125"/>
      <c r="I87" s="123"/>
      <c r="J87" s="116">
        <f t="shared" ref="J87:J148" si="13">H87+F87</f>
        <v>103109.86</v>
      </c>
      <c r="K87" s="116">
        <f t="shared" ref="K87:K149" si="14">I87+G87</f>
        <v>206428</v>
      </c>
      <c r="L87" s="105">
        <f t="shared" ref="L87:L95" si="15">K87/$K$149</f>
        <v>2.1169350005797963E-2</v>
      </c>
      <c r="M87" s="105">
        <f t="shared" si="8"/>
        <v>0.49949551417443372</v>
      </c>
      <c r="N87" s="76"/>
    </row>
    <row r="88" spans="1:14" s="20" customFormat="1" ht="15" customHeight="1">
      <c r="A88" s="68">
        <v>70</v>
      </c>
      <c r="B88" s="58"/>
      <c r="C88" s="59"/>
      <c r="D88" s="56" t="s">
        <v>29</v>
      </c>
      <c r="E88" s="115">
        <v>111</v>
      </c>
      <c r="F88" s="121"/>
      <c r="G88" s="123">
        <v>63650</v>
      </c>
      <c r="H88" s="125"/>
      <c r="I88" s="123"/>
      <c r="J88" s="116">
        <f t="shared" si="13"/>
        <v>0</v>
      </c>
      <c r="K88" s="116">
        <f t="shared" si="14"/>
        <v>63650</v>
      </c>
      <c r="L88" s="105">
        <f t="shared" si="15"/>
        <v>6.5273564045044297E-3</v>
      </c>
      <c r="M88" s="105">
        <f t="shared" si="8"/>
        <v>0</v>
      </c>
      <c r="N88" s="76"/>
    </row>
    <row r="89" spans="1:14" s="20" customFormat="1" ht="15" customHeight="1">
      <c r="A89" s="68">
        <v>71</v>
      </c>
      <c r="B89" s="58"/>
      <c r="C89" s="59"/>
      <c r="D89" s="56" t="s">
        <v>142</v>
      </c>
      <c r="E89" s="115">
        <v>111</v>
      </c>
      <c r="F89" s="121">
        <f>7557.69+18580.36+55413.04+2170+1031.3+97521.58+20471.58+51602.5+63240+68200+18580.36+43114.46</f>
        <v>447482.87</v>
      </c>
      <c r="G89" s="123">
        <f>574008.08-59000-56413</f>
        <v>458595.07999999996</v>
      </c>
      <c r="H89" s="125">
        <f>42966.58</f>
        <v>42966.58</v>
      </c>
      <c r="I89" s="123">
        <f>55413+26500</f>
        <v>81913</v>
      </c>
      <c r="J89" s="116">
        <f t="shared" si="13"/>
        <v>490449.45</v>
      </c>
      <c r="K89" s="116">
        <f t="shared" si="14"/>
        <v>540508.07999999996</v>
      </c>
      <c r="L89" s="105">
        <f t="shared" si="15"/>
        <v>5.5429518895120065E-2</v>
      </c>
      <c r="M89" s="105">
        <f t="shared" si="8"/>
        <v>0.90738597284244127</v>
      </c>
      <c r="N89" s="76"/>
    </row>
    <row r="90" spans="1:14" s="20" customFormat="1" ht="15" customHeight="1">
      <c r="A90" s="68">
        <v>72</v>
      </c>
      <c r="B90" s="58"/>
      <c r="C90" s="56" t="s">
        <v>5</v>
      </c>
      <c r="D90" s="56"/>
      <c r="E90" s="115">
        <v>112</v>
      </c>
      <c r="F90" s="121">
        <f>1294000.02+609531.93+225451.81+97035.55+44056.78+24706.84+4881.31+86958.08</f>
        <v>2386622.3199999998</v>
      </c>
      <c r="G90" s="123">
        <f>2724037+25006.5</f>
        <v>2749043.5</v>
      </c>
      <c r="H90" s="125">
        <f>107225.84+89943.67</f>
        <v>197169.51</v>
      </c>
      <c r="I90" s="123">
        <f>43613+54513+48813+53313</f>
        <v>200252</v>
      </c>
      <c r="J90" s="116">
        <f t="shared" si="13"/>
        <v>2583791.83</v>
      </c>
      <c r="K90" s="116">
        <f t="shared" si="14"/>
        <v>2949295.5</v>
      </c>
      <c r="L90" s="105">
        <f t="shared" si="15"/>
        <v>0.30245251957110908</v>
      </c>
      <c r="M90" s="105">
        <f t="shared" si="8"/>
        <v>0.87607085488720948</v>
      </c>
      <c r="N90" s="76"/>
    </row>
    <row r="91" spans="1:14" s="20" customFormat="1" ht="15" customHeight="1">
      <c r="A91" s="68">
        <v>73</v>
      </c>
      <c r="B91" s="56"/>
      <c r="C91" s="56" t="s">
        <v>30</v>
      </c>
      <c r="D91" s="56"/>
      <c r="E91" s="115">
        <v>113</v>
      </c>
      <c r="F91" s="121">
        <f>23269.05+27852.64+80260.8+77664.58</f>
        <v>209047.07</v>
      </c>
      <c r="G91" s="123">
        <f>62340+16335+105000</f>
        <v>183675</v>
      </c>
      <c r="H91" s="125">
        <v>51280.22</v>
      </c>
      <c r="I91" s="123">
        <f>49005+27800+300</f>
        <v>77105</v>
      </c>
      <c r="J91" s="116">
        <f t="shared" si="13"/>
        <v>260327.29</v>
      </c>
      <c r="K91" s="116">
        <f t="shared" si="14"/>
        <v>260780</v>
      </c>
      <c r="L91" s="105">
        <f t="shared" si="15"/>
        <v>2.6743189366326241E-2</v>
      </c>
      <c r="M91" s="105">
        <f t="shared" si="8"/>
        <v>0.99826401564537159</v>
      </c>
      <c r="N91" s="76"/>
    </row>
    <row r="92" spans="1:14" s="20" customFormat="1" ht="15" customHeight="1">
      <c r="A92" s="68">
        <v>74</v>
      </c>
      <c r="B92" s="56"/>
      <c r="C92" s="56" t="s">
        <v>32</v>
      </c>
      <c r="D92" s="56"/>
      <c r="E92" s="115">
        <v>114</v>
      </c>
      <c r="F92" s="121">
        <v>111409.64</v>
      </c>
      <c r="G92" s="123">
        <f>102096</f>
        <v>102096</v>
      </c>
      <c r="H92" s="125"/>
      <c r="I92" s="123"/>
      <c r="J92" s="116">
        <f t="shared" si="13"/>
        <v>111409.64</v>
      </c>
      <c r="K92" s="116">
        <f t="shared" si="14"/>
        <v>102096</v>
      </c>
      <c r="L92" s="105">
        <f t="shared" si="15"/>
        <v>1.0470023243900773E-2</v>
      </c>
      <c r="M92" s="105">
        <f t="shared" si="8"/>
        <v>1.0912243378780755</v>
      </c>
      <c r="N92" s="76"/>
    </row>
    <row r="93" spans="1:14" s="20" customFormat="1" ht="15" customHeight="1">
      <c r="A93" s="68">
        <v>75</v>
      </c>
      <c r="B93" s="56"/>
      <c r="C93" s="56" t="s">
        <v>35</v>
      </c>
      <c r="D93" s="56"/>
      <c r="E93" s="115">
        <v>116</v>
      </c>
      <c r="F93" s="121">
        <f>693.4+270+84444.64+258960.84+19005+98773.73+10498.5+210+1350+2886</f>
        <v>477092.11</v>
      </c>
      <c r="G93" s="123">
        <f>389998</f>
        <v>389998</v>
      </c>
      <c r="H93" s="125">
        <f>25756+153368.34+5538</f>
        <v>184662.34</v>
      </c>
      <c r="I93" s="123">
        <f>177975</f>
        <v>177975</v>
      </c>
      <c r="J93" s="116">
        <f t="shared" si="13"/>
        <v>661754.44999999995</v>
      </c>
      <c r="K93" s="116">
        <f t="shared" si="14"/>
        <v>567973</v>
      </c>
      <c r="L93" s="105">
        <f t="shared" si="15"/>
        <v>5.8246067543371478E-2</v>
      </c>
      <c r="M93" s="105">
        <f t="shared" si="8"/>
        <v>1.1651160354453467</v>
      </c>
      <c r="N93" s="76"/>
    </row>
    <row r="94" spans="1:14" s="20" customFormat="1" ht="15" customHeight="1">
      <c r="A94" s="68">
        <v>76</v>
      </c>
      <c r="B94" s="56"/>
      <c r="C94" s="59" t="s">
        <v>143</v>
      </c>
      <c r="D94" s="56"/>
      <c r="E94" s="115" t="s">
        <v>104</v>
      </c>
      <c r="F94" s="121">
        <f>923.08+250+1260+2850+2940+900+1350+3050+2820+3700+8680+960+2800+210+2550+420+1530+1822.3+500+249267.06+32665.16+2650+27000+2630+79117.29+1660+6000+9000+33550+6312.5+70775.52+8+170+1928.58+250+35234.02+2947.5+440+2307.69+31100+3210+47752.16+38095.17+438.75+1206+32913.86+45574.47+3868.85+41934.56+38425</f>
        <v>887947.51999999979</v>
      </c>
      <c r="G94" s="123">
        <f>556120+16000+67000+33550+9000+6500+22000</f>
        <v>710170</v>
      </c>
      <c r="H94" s="125">
        <f>52825.85+48611.96+52900+13050+8062.5+50539.98+5890+39385.5+4475+340+7970+3800+2220+490+12450+350+350+1400+300+350+280+1400+840+210+350+23285+490+350+30145+900+8564.29+37557.97+66030+4960+25631.49+12395+24706.31+1480</f>
        <v>545335.85000000009</v>
      </c>
      <c r="I94" s="123">
        <f>52800+9000+14000+36400+1000+8000+800+16000+4000+2300+5000+20480+32000+10000+36000+3000+4500+2000+7000+25500+24866+56413+24866+26400+25800+27200+26700+6644+16920</f>
        <v>525589</v>
      </c>
      <c r="J94" s="117">
        <f t="shared" si="13"/>
        <v>1433283.3699999999</v>
      </c>
      <c r="K94" s="117">
        <f t="shared" si="14"/>
        <v>1235759</v>
      </c>
      <c r="L94" s="108">
        <f t="shared" si="15"/>
        <v>0.12672803492653559</v>
      </c>
      <c r="M94" s="108">
        <f t="shared" si="8"/>
        <v>1.1598405271578034</v>
      </c>
      <c r="N94" s="76"/>
    </row>
    <row r="95" spans="1:14" s="20" customFormat="1" ht="15" customHeight="1">
      <c r="A95" s="193">
        <v>77</v>
      </c>
      <c r="B95" s="60"/>
      <c r="C95" s="60"/>
      <c r="D95" s="61" t="s">
        <v>83</v>
      </c>
      <c r="E95" s="118" t="s">
        <v>6</v>
      </c>
      <c r="F95" s="122">
        <f>SUM(F87:F94)</f>
        <v>4622711.3899999997</v>
      </c>
      <c r="G95" s="124">
        <f>SUM(G87:G94)</f>
        <v>4863655.58</v>
      </c>
      <c r="H95" s="122">
        <f>SUM(H87:H94)</f>
        <v>1021414.5000000001</v>
      </c>
      <c r="I95" s="124">
        <f>SUM(I87:I94)</f>
        <v>1062834</v>
      </c>
      <c r="J95" s="119">
        <f t="shared" si="13"/>
        <v>5644125.8899999997</v>
      </c>
      <c r="K95" s="119">
        <f t="shared" si="14"/>
        <v>5926489.5800000001</v>
      </c>
      <c r="L95" s="111">
        <f t="shared" si="15"/>
        <v>0.60776605995666566</v>
      </c>
      <c r="M95" s="111">
        <f t="shared" si="8"/>
        <v>0.95235565908140851</v>
      </c>
      <c r="N95" s="77"/>
    </row>
    <row r="96" spans="1:14" s="20" customFormat="1" ht="17.25" customHeight="1">
      <c r="A96" s="210">
        <v>78</v>
      </c>
      <c r="B96" s="57" t="s">
        <v>84</v>
      </c>
      <c r="C96" s="62"/>
      <c r="D96" s="57"/>
      <c r="E96" s="249"/>
      <c r="F96" s="253"/>
      <c r="G96" s="251"/>
      <c r="H96" s="252"/>
      <c r="I96" s="251"/>
      <c r="J96" s="250"/>
      <c r="K96" s="250"/>
      <c r="L96" s="112"/>
      <c r="M96" s="112"/>
      <c r="N96" s="104"/>
    </row>
    <row r="97" spans="1:22" s="20" customFormat="1" ht="17.25" customHeight="1">
      <c r="A97" s="68">
        <v>79</v>
      </c>
      <c r="B97" s="145"/>
      <c r="C97" s="145" t="s">
        <v>33</v>
      </c>
      <c r="D97" s="145"/>
      <c r="E97" s="165">
        <v>210</v>
      </c>
      <c r="F97" s="166">
        <f>513.16+190830.17+36663.11+404672</f>
        <v>632678.43999999994</v>
      </c>
      <c r="G97" s="127">
        <v>655000</v>
      </c>
      <c r="H97" s="167"/>
      <c r="I97" s="127"/>
      <c r="J97" s="150">
        <f t="shared" si="13"/>
        <v>632678.43999999994</v>
      </c>
      <c r="K97" s="150">
        <f t="shared" si="14"/>
        <v>655000</v>
      </c>
      <c r="L97" s="142">
        <f t="shared" ref="L97:L104" si="16">K97/$K$149</f>
        <v>6.7170753259236465E-2</v>
      </c>
      <c r="M97" s="142">
        <f t="shared" si="8"/>
        <v>0.965921282442748</v>
      </c>
      <c r="N97" s="135"/>
    </row>
    <row r="98" spans="1:22" s="20" customFormat="1" ht="15" customHeight="1">
      <c r="A98" s="68">
        <v>80</v>
      </c>
      <c r="B98" s="56"/>
      <c r="C98" s="56" t="s">
        <v>7</v>
      </c>
      <c r="D98" s="56"/>
      <c r="E98" s="115">
        <v>220</v>
      </c>
      <c r="F98" s="121">
        <f>72.73+620.84+134.68+83.7+198.89+78.12+176.7+321.78+12.4+176.7+176.7+827.08+190.25+158.1+120.9+768.57+31+109.69+313.92+150626.87+3009.1+15769.03+1498.56+558+2018.1+390.05+145.08+1337.41+6762.94+4324.08+175.25+63.94+5021.07+5396.04+15.5+2185.88+206.32+31951.79+5291.15+153.41+23543.07+1182.36+4968.33+2132.25+2919.21+2719.37+130.57+145.08</f>
        <v>279212.56000000006</v>
      </c>
      <c r="G98" s="123">
        <f>301546.67</f>
        <v>301546.67</v>
      </c>
      <c r="H98" s="125">
        <f>9890.66+3051.64+4565.38+3101.62+8258.15+1+234.05+21.08+43.4+1669.2+18.6+130.2+21.7+138.88+13.02+21.7+1443.67+30.38+21.7-1+1865.26+55.8+3151.98+530.99+2328.54+4371.85+2663.93+2349.95+29.76+1498.11+91.76+11276.29</f>
        <v>62889.250000000015</v>
      </c>
      <c r="I98" s="123">
        <f>4699.6+2864+1+24681+12677+10747.02+8658.73-1+19+1049</f>
        <v>65395.349999999991</v>
      </c>
      <c r="J98" s="116">
        <f t="shared" si="13"/>
        <v>342101.81000000006</v>
      </c>
      <c r="K98" s="116">
        <f t="shared" si="14"/>
        <v>366942.01999999996</v>
      </c>
      <c r="L98" s="105">
        <f t="shared" si="16"/>
        <v>3.7630186085291319E-2</v>
      </c>
      <c r="M98" s="105">
        <f t="shared" si="8"/>
        <v>0.932304809353805</v>
      </c>
      <c r="N98" s="76"/>
    </row>
    <row r="99" spans="1:22" s="20" customFormat="1" ht="15" customHeight="1">
      <c r="A99" s="68">
        <v>81</v>
      </c>
      <c r="B99" s="56"/>
      <c r="C99" s="56" t="s">
        <v>24</v>
      </c>
      <c r="D99" s="56"/>
      <c r="E99" s="115">
        <v>225</v>
      </c>
      <c r="F99" s="121">
        <f>17.01+31.5+144+20.71+62.69+18.27+41.33+75.27+2.9+41.33+40.89+193.43+40.03+36.98+48.23+109.59+7.25+21.61+12.91+25.6+83.45+35299.33+770.99+3698.25+350.4+130.51+486.43+91.23+38.46+312.77+1514.51+1011.24+14.97+1152.46+1262.02+3.62+28.08+697.62+8038.75+1237.36+6845.95+276.53+1225.68+498.67+682.6+635.96+74.45</f>
        <v>67453.820000000007</v>
      </c>
      <c r="G99" s="123">
        <f>70523.01</f>
        <v>70523.009999999995</v>
      </c>
      <c r="H99" s="125">
        <f>2313.01+703.48+1067.75+725.29+1926.83+54.76+4.93+10.15+390.54+4.98+30.44+5.08+32.5+3.05+5.08+7.11+174.04+5.08+163.64+436.21+13.06+737.25+124.19+544.6+623.02+549.66+717.07+350.4+312.34+21.46+2637.15</f>
        <v>14694.15</v>
      </c>
      <c r="I99" s="123">
        <f>1099.1+670+5772+2965+2513.42+2025.03+4+245</f>
        <v>15293.550000000001</v>
      </c>
      <c r="J99" s="116">
        <f t="shared" si="13"/>
        <v>82147.97</v>
      </c>
      <c r="K99" s="116">
        <f t="shared" si="14"/>
        <v>85816.56</v>
      </c>
      <c r="L99" s="105">
        <f t="shared" si="16"/>
        <v>8.8005541638419265E-3</v>
      </c>
      <c r="M99" s="105">
        <f t="shared" si="8"/>
        <v>0.95725079168869043</v>
      </c>
      <c r="N99" s="76"/>
    </row>
    <row r="100" spans="1:22" s="20" customFormat="1" ht="15" customHeight="1">
      <c r="A100" s="68">
        <v>82</v>
      </c>
      <c r="B100" s="56"/>
      <c r="C100" s="56" t="s">
        <v>8</v>
      </c>
      <c r="D100" s="56"/>
      <c r="E100" s="115" t="s">
        <v>125</v>
      </c>
      <c r="F100" s="121">
        <f>10+11362.2+616.19+2171.4+88.35+4322.35+268.01+50.4+78+165.6+8+72+206.4+64.8+102+61.2+20+212.31+272.29+57.4+99.84+226.75+102961.83+2981.8+12557.86+988.4+340+1174+239.87+32.67+130.8+1164.73+5312.65+152.23+4272.06+3147.95+10+2013.83+325.65+26517.75+4871.55+18770.86+1320.84+44.88+2445.37+2497.86+2276.78+2508.05+194.64</f>
        <v>219790.39999999997</v>
      </c>
      <c r="G100" s="123">
        <f>243182.8</f>
        <v>243182.8</v>
      </c>
      <c r="H100" s="125">
        <f>3171.95+6433.6+1452.6+2884.5+2021.6+1385.18+4572.37+151+13.6+28+835.16+9.25+126+14+33.6+56+14+106.12+588+14+932.73+36+3027.9+1594.17+1553.61+1559.13+938.79+8740.53</f>
        <v>42293.389999999992</v>
      </c>
      <c r="I100" s="123">
        <f>3168+2292+18650+12269+10400.34+8379.42+18+1016</f>
        <v>56192.759999999995</v>
      </c>
      <c r="J100" s="116">
        <f t="shared" si="13"/>
        <v>262083.78999999995</v>
      </c>
      <c r="K100" s="116">
        <f t="shared" si="14"/>
        <v>299375.56</v>
      </c>
      <c r="L100" s="105">
        <f t="shared" si="16"/>
        <v>3.0701193698634725E-2</v>
      </c>
      <c r="M100" s="105">
        <f t="shared" si="8"/>
        <v>0.87543482173361098</v>
      </c>
      <c r="N100" s="76"/>
    </row>
    <row r="101" spans="1:22" s="20" customFormat="1" ht="15" customHeight="1">
      <c r="A101" s="68">
        <v>83</v>
      </c>
      <c r="B101" s="56"/>
      <c r="C101" s="56" t="s">
        <v>9</v>
      </c>
      <c r="D101" s="56"/>
      <c r="E101" s="115">
        <v>250</v>
      </c>
      <c r="F101" s="121">
        <f>19.23+4.36+10042.29+1207.57+78.54+122.3+5.14+20.83+39.28+314.16+394.46+6.84+466.46+471.24+65.97+1989.72+92.23+157.09+3427.04+41.46+200.66+269.28+112.36+157.07+10.18</f>
        <v>19715.759999999995</v>
      </c>
      <c r="G101" s="123">
        <f>27165.6</f>
        <v>27165.599999999999</v>
      </c>
      <c r="H101" s="125">
        <f>655.28+361.32+266.17+314.24+617.95+1.61+117.82+91.04+157.09+172.39+197.86+78.54+2.89+1689.19</f>
        <v>4723.3900000000003</v>
      </c>
      <c r="I101" s="123">
        <f>1725</f>
        <v>1725</v>
      </c>
      <c r="J101" s="116">
        <f t="shared" si="13"/>
        <v>24439.149999999994</v>
      </c>
      <c r="K101" s="116">
        <f t="shared" si="14"/>
        <v>28890.6</v>
      </c>
      <c r="L101" s="105">
        <f t="shared" si="16"/>
        <v>2.9627532276508355E-3</v>
      </c>
      <c r="M101" s="105">
        <f t="shared" si="8"/>
        <v>0.84592047240278834</v>
      </c>
      <c r="N101" s="76"/>
    </row>
    <row r="102" spans="1:22" s="20" customFormat="1" ht="15" customHeight="1">
      <c r="A102" s="68">
        <v>84</v>
      </c>
      <c r="B102" s="56"/>
      <c r="C102" s="59" t="s">
        <v>34</v>
      </c>
      <c r="D102" s="56"/>
      <c r="E102" s="115">
        <v>270</v>
      </c>
      <c r="F102" s="121"/>
      <c r="G102" s="123"/>
      <c r="H102" s="125"/>
      <c r="I102" s="123"/>
      <c r="J102" s="116">
        <f t="shared" si="13"/>
        <v>0</v>
      </c>
      <c r="K102" s="116">
        <f t="shared" si="14"/>
        <v>0</v>
      </c>
      <c r="L102" s="105">
        <f t="shared" si="16"/>
        <v>0</v>
      </c>
      <c r="M102" s="105" t="e">
        <f t="shared" si="8"/>
        <v>#DIV/0!</v>
      </c>
      <c r="N102" s="76"/>
    </row>
    <row r="103" spans="1:22" s="20" customFormat="1" ht="15" customHeight="1">
      <c r="A103" s="68">
        <v>85</v>
      </c>
      <c r="B103" s="56"/>
      <c r="C103" s="59" t="s">
        <v>144</v>
      </c>
      <c r="D103" s="56"/>
      <c r="E103" s="115" t="s">
        <v>10</v>
      </c>
      <c r="F103" s="121">
        <f>1663.84+717.44+310+1414.27+9735.49+3293.14+45104.6+7168.6+717.44+1759.76+1489.02</f>
        <v>73373.600000000006</v>
      </c>
      <c r="G103" s="123">
        <f>39000+47055</f>
        <v>86055</v>
      </c>
      <c r="H103" s="125"/>
      <c r="I103" s="123">
        <v>1000</v>
      </c>
      <c r="J103" s="117">
        <f t="shared" si="13"/>
        <v>73373.600000000006</v>
      </c>
      <c r="K103" s="117">
        <f t="shared" si="14"/>
        <v>87055</v>
      </c>
      <c r="L103" s="108">
        <f t="shared" si="16"/>
        <v>8.9275571373783683E-3</v>
      </c>
      <c r="M103" s="108">
        <f t="shared" si="8"/>
        <v>0.84284188156912299</v>
      </c>
      <c r="N103" s="315" t="s">
        <v>187</v>
      </c>
    </row>
    <row r="104" spans="1:22" s="20" customFormat="1" ht="15" customHeight="1">
      <c r="A104" s="193">
        <v>86</v>
      </c>
      <c r="B104" s="60"/>
      <c r="C104" s="60"/>
      <c r="D104" s="61" t="s">
        <v>85</v>
      </c>
      <c r="E104" s="118" t="s">
        <v>11</v>
      </c>
      <c r="F104" s="122">
        <f>SUM(F97:F103)</f>
        <v>1292224.58</v>
      </c>
      <c r="G104" s="124">
        <f>SUM(G97:G103)</f>
        <v>1383473.08</v>
      </c>
      <c r="H104" s="122">
        <f>SUM(H97:H103)</f>
        <v>124600.18000000001</v>
      </c>
      <c r="I104" s="124">
        <f>SUM(I97:I103)</f>
        <v>139606.65999999997</v>
      </c>
      <c r="J104" s="110">
        <f t="shared" si="13"/>
        <v>1416824.76</v>
      </c>
      <c r="K104" s="110">
        <f t="shared" si="14"/>
        <v>1523079.74</v>
      </c>
      <c r="L104" s="111">
        <f t="shared" si="16"/>
        <v>0.15619299757203364</v>
      </c>
      <c r="M104" s="111">
        <f t="shared" si="8"/>
        <v>0.93023675831969244</v>
      </c>
      <c r="N104" s="77"/>
    </row>
    <row r="105" spans="1:22" s="20" customFormat="1" ht="17.25" customHeight="1">
      <c r="A105" s="210">
        <v>87</v>
      </c>
      <c r="B105" s="57" t="s">
        <v>87</v>
      </c>
      <c r="C105" s="62"/>
      <c r="D105" s="57"/>
      <c r="E105" s="249"/>
      <c r="F105" s="253"/>
      <c r="G105" s="251"/>
      <c r="H105" s="252"/>
      <c r="I105" s="251"/>
      <c r="J105" s="250"/>
      <c r="K105" s="250"/>
      <c r="L105" s="112"/>
      <c r="M105" s="112"/>
      <c r="N105" s="104"/>
    </row>
    <row r="106" spans="1:22" s="20" customFormat="1" ht="17.25" customHeight="1">
      <c r="A106" s="68">
        <v>88</v>
      </c>
      <c r="B106" s="145"/>
      <c r="C106" s="145" t="s">
        <v>12</v>
      </c>
      <c r="D106" s="145"/>
      <c r="E106" s="165">
        <v>332</v>
      </c>
      <c r="F106" s="166">
        <v>27250</v>
      </c>
      <c r="G106" s="127">
        <v>50000</v>
      </c>
      <c r="H106" s="167"/>
      <c r="I106" s="127"/>
      <c r="J106" s="150">
        <f t="shared" si="13"/>
        <v>27250</v>
      </c>
      <c r="K106" s="150">
        <f t="shared" si="14"/>
        <v>50000</v>
      </c>
      <c r="L106" s="142">
        <f>K106/$K$149</f>
        <v>5.1275384167356088E-3</v>
      </c>
      <c r="M106" s="142">
        <f t="shared" si="8"/>
        <v>0.54500000000000004</v>
      </c>
      <c r="N106" s="135"/>
    </row>
    <row r="107" spans="1:22" s="20" customFormat="1" ht="15" customHeight="1">
      <c r="A107" s="68">
        <v>89</v>
      </c>
      <c r="B107" s="56"/>
      <c r="C107" s="56" t="s">
        <v>13</v>
      </c>
      <c r="D107" s="56"/>
      <c r="E107" s="115">
        <v>333</v>
      </c>
      <c r="F107" s="121">
        <f>2100+37028.7+14000+22674.59</f>
        <v>75803.289999999994</v>
      </c>
      <c r="G107" s="123">
        <f>23650+13065</f>
        <v>36715</v>
      </c>
      <c r="H107" s="125"/>
      <c r="I107" s="123"/>
      <c r="J107" s="116">
        <f t="shared" si="13"/>
        <v>75803.289999999994</v>
      </c>
      <c r="K107" s="116">
        <f t="shared" si="14"/>
        <v>36715</v>
      </c>
      <c r="L107" s="105">
        <f>K107/$K$149</f>
        <v>3.7651514594089575E-3</v>
      </c>
      <c r="M107" s="105">
        <f t="shared" si="8"/>
        <v>2.0646408824731033</v>
      </c>
      <c r="N107" s="76"/>
    </row>
    <row r="108" spans="1:22" s="20" customFormat="1" ht="15" customHeight="1">
      <c r="A108" s="68">
        <v>90</v>
      </c>
      <c r="B108" s="56"/>
      <c r="C108" s="56" t="s">
        <v>36</v>
      </c>
      <c r="D108" s="56"/>
      <c r="E108" s="115" t="s">
        <v>105</v>
      </c>
      <c r="F108" s="121"/>
      <c r="G108" s="123"/>
      <c r="H108" s="125"/>
      <c r="I108" s="123"/>
      <c r="J108" s="116">
        <f t="shared" si="13"/>
        <v>0</v>
      </c>
      <c r="K108" s="116">
        <f t="shared" si="14"/>
        <v>0</v>
      </c>
      <c r="L108" s="105">
        <f>K108/$K$149</f>
        <v>0</v>
      </c>
      <c r="M108" s="105" t="e">
        <f t="shared" si="8"/>
        <v>#DIV/0!</v>
      </c>
      <c r="N108" s="76"/>
    </row>
    <row r="109" spans="1:22" s="20" customFormat="1" ht="15" customHeight="1">
      <c r="A109" s="68">
        <v>91</v>
      </c>
      <c r="B109" s="56"/>
      <c r="C109" s="59" t="s">
        <v>145</v>
      </c>
      <c r="D109" s="56"/>
      <c r="E109" s="115" t="s">
        <v>105</v>
      </c>
      <c r="F109" s="121">
        <f>18720+1410.75+285+993.75+8+9750+11690.18+1913.16+5860+2000+2668.3+810+299.99+9277.5+108928.93+17070+32095.5+180+5595+1102+325</f>
        <v>230983.06</v>
      </c>
      <c r="G109" s="123">
        <f>9750+12500+1915+5860+2000+2668+300+9300+109500+17500+1500+30000+50000</f>
        <v>252793</v>
      </c>
      <c r="H109" s="125">
        <f>10000+600+1580+810+36174.82+150+5450+1+120+960</f>
        <v>55845.82</v>
      </c>
      <c r="I109" s="123">
        <f>20500+3500+2000+4000+4000+10000+2000</f>
        <v>46000</v>
      </c>
      <c r="J109" s="117">
        <f t="shared" si="13"/>
        <v>286828.88</v>
      </c>
      <c r="K109" s="117">
        <f t="shared" si="14"/>
        <v>298793</v>
      </c>
      <c r="L109" s="108">
        <f>K109/$K$149</f>
        <v>3.0641451723033654E-2</v>
      </c>
      <c r="M109" s="108">
        <f t="shared" si="8"/>
        <v>0.95995849969711478</v>
      </c>
      <c r="N109" s="317"/>
      <c r="O109" s="23"/>
      <c r="P109" s="23"/>
      <c r="Q109" s="23"/>
      <c r="R109" s="23"/>
      <c r="S109" s="23"/>
      <c r="T109" s="23"/>
      <c r="U109" s="23"/>
      <c r="V109" s="23"/>
    </row>
    <row r="110" spans="1:22" s="20" customFormat="1" ht="15" customHeight="1">
      <c r="A110" s="193">
        <v>92</v>
      </c>
      <c r="B110" s="60"/>
      <c r="C110" s="60"/>
      <c r="D110" s="61" t="s">
        <v>86</v>
      </c>
      <c r="E110" s="118" t="s">
        <v>14</v>
      </c>
      <c r="F110" s="122">
        <f>SUM(F106:F109)</f>
        <v>334036.34999999998</v>
      </c>
      <c r="G110" s="124">
        <f>SUM(G106:G109)</f>
        <v>339508</v>
      </c>
      <c r="H110" s="122">
        <f>SUM(H106:H109)</f>
        <v>55845.82</v>
      </c>
      <c r="I110" s="124">
        <f>SUM(I106:I109)</f>
        <v>46000</v>
      </c>
      <c r="J110" s="110">
        <f t="shared" si="13"/>
        <v>389882.17</v>
      </c>
      <c r="K110" s="110">
        <f t="shared" si="14"/>
        <v>385508</v>
      </c>
      <c r="L110" s="111">
        <f>K110/$K$149</f>
        <v>3.9534141599178223E-2</v>
      </c>
      <c r="M110" s="111">
        <f t="shared" si="8"/>
        <v>1.0113465090218621</v>
      </c>
      <c r="N110" s="318"/>
      <c r="O110" s="23"/>
      <c r="P110" s="23"/>
      <c r="Q110" s="23"/>
      <c r="R110" s="23"/>
      <c r="S110" s="23"/>
      <c r="T110" s="23"/>
      <c r="U110" s="23"/>
      <c r="V110" s="23"/>
    </row>
    <row r="111" spans="1:22" s="20" customFormat="1" ht="17.25" customHeight="1">
      <c r="A111" s="210">
        <v>93</v>
      </c>
      <c r="B111" s="57" t="s">
        <v>88</v>
      </c>
      <c r="C111" s="57"/>
      <c r="D111" s="57"/>
      <c r="E111" s="249"/>
      <c r="F111" s="253"/>
      <c r="G111" s="251"/>
      <c r="H111" s="252"/>
      <c r="I111" s="251"/>
      <c r="J111" s="250"/>
      <c r="K111" s="250"/>
      <c r="L111" s="112"/>
      <c r="M111" s="112"/>
      <c r="N111" s="319"/>
      <c r="O111" s="23"/>
      <c r="P111" s="23"/>
      <c r="Q111" s="23"/>
      <c r="R111" s="23"/>
      <c r="S111" s="23"/>
      <c r="T111" s="23"/>
      <c r="U111" s="23"/>
      <c r="V111" s="23"/>
    </row>
    <row r="112" spans="1:22" s="20" customFormat="1" ht="17.25" customHeight="1">
      <c r="A112" s="68">
        <v>94</v>
      </c>
      <c r="B112" s="168"/>
      <c r="C112" s="145" t="s">
        <v>25</v>
      </c>
      <c r="D112" s="145"/>
      <c r="E112" s="165">
        <v>411</v>
      </c>
      <c r="F112" s="166"/>
      <c r="G112" s="127"/>
      <c r="H112" s="167"/>
      <c r="I112" s="127"/>
      <c r="J112" s="150">
        <f t="shared" si="13"/>
        <v>0</v>
      </c>
      <c r="K112" s="150">
        <f t="shared" si="14"/>
        <v>0</v>
      </c>
      <c r="L112" s="142">
        <f t="shared" ref="L112:L117" si="17">K112/$K$149</f>
        <v>0</v>
      </c>
      <c r="M112" s="142" t="e">
        <f t="shared" si="8"/>
        <v>#DIV/0!</v>
      </c>
      <c r="N112" s="320"/>
      <c r="O112" s="23"/>
      <c r="P112" s="23"/>
      <c r="Q112" s="23"/>
      <c r="R112" s="23"/>
      <c r="S112" s="23"/>
      <c r="T112" s="23"/>
      <c r="U112" s="23"/>
      <c r="V112" s="23"/>
    </row>
    <row r="113" spans="1:22" s="20" customFormat="1" ht="15" customHeight="1">
      <c r="A113" s="68">
        <v>95</v>
      </c>
      <c r="B113" s="63"/>
      <c r="C113" s="65" t="s">
        <v>123</v>
      </c>
      <c r="D113" s="56"/>
      <c r="E113" s="115">
        <v>441</v>
      </c>
      <c r="F113" s="121">
        <f>2000</f>
        <v>2000</v>
      </c>
      <c r="G113" s="123"/>
      <c r="H113" s="125"/>
      <c r="I113" s="123"/>
      <c r="J113" s="116">
        <f t="shared" si="13"/>
        <v>2000</v>
      </c>
      <c r="K113" s="116">
        <f t="shared" si="14"/>
        <v>0</v>
      </c>
      <c r="L113" s="105">
        <f t="shared" si="17"/>
        <v>0</v>
      </c>
      <c r="M113" s="105" t="e">
        <f t="shared" si="8"/>
        <v>#DIV/0!</v>
      </c>
      <c r="N113" s="317"/>
      <c r="O113" s="23"/>
      <c r="P113" s="23"/>
      <c r="Q113" s="23"/>
      <c r="R113" s="23"/>
      <c r="S113" s="23"/>
      <c r="T113" s="23"/>
      <c r="U113" s="23"/>
      <c r="V113" s="23"/>
    </row>
    <row r="114" spans="1:22" s="20" customFormat="1" ht="15" customHeight="1">
      <c r="A114" s="68">
        <v>96</v>
      </c>
      <c r="B114" s="63"/>
      <c r="C114" s="56" t="s">
        <v>106</v>
      </c>
      <c r="D114" s="56"/>
      <c r="E114" s="115">
        <v>442</v>
      </c>
      <c r="F114" s="121">
        <f>679.59</f>
        <v>679.59</v>
      </c>
      <c r="G114" s="123">
        <v>1000</v>
      </c>
      <c r="H114" s="125"/>
      <c r="I114" s="123"/>
      <c r="J114" s="116">
        <f t="shared" si="13"/>
        <v>679.59</v>
      </c>
      <c r="K114" s="116">
        <f t="shared" si="14"/>
        <v>1000</v>
      </c>
      <c r="L114" s="105">
        <f t="shared" si="17"/>
        <v>1.0255076833471218E-4</v>
      </c>
      <c r="M114" s="105">
        <f t="shared" si="8"/>
        <v>0.67959000000000003</v>
      </c>
      <c r="N114" s="317"/>
      <c r="O114" s="23"/>
      <c r="P114" s="23"/>
      <c r="Q114" s="23"/>
      <c r="R114" s="23"/>
      <c r="S114" s="23"/>
      <c r="T114" s="23"/>
      <c r="U114" s="23"/>
      <c r="V114" s="23"/>
    </row>
    <row r="115" spans="1:22" s="20" customFormat="1" ht="15" customHeight="1">
      <c r="A115" s="68">
        <v>97</v>
      </c>
      <c r="B115" s="63"/>
      <c r="C115" s="56" t="s">
        <v>37</v>
      </c>
      <c r="D115" s="56"/>
      <c r="E115" s="115">
        <v>430</v>
      </c>
      <c r="F115" s="121">
        <f>248.98+539+220.76+220+265+8600.86+24110.85+11443.72+12026.5</f>
        <v>57675.67</v>
      </c>
      <c r="G115" s="123">
        <f>53400+10000</f>
        <v>63400</v>
      </c>
      <c r="H115" s="125">
        <f>375+2832.11+3477.77</f>
        <v>6684.88</v>
      </c>
      <c r="I115" s="123">
        <f>1000+1000+7500+6350</f>
        <v>15850</v>
      </c>
      <c r="J115" s="116">
        <f t="shared" si="13"/>
        <v>64360.549999999996</v>
      </c>
      <c r="K115" s="116">
        <f t="shared" si="14"/>
        <v>79250</v>
      </c>
      <c r="L115" s="105">
        <f t="shared" si="17"/>
        <v>8.1271483905259404E-3</v>
      </c>
      <c r="M115" s="105">
        <f t="shared" si="8"/>
        <v>0.81212050473186115</v>
      </c>
      <c r="N115" s="317"/>
      <c r="O115" s="23"/>
      <c r="P115" s="23"/>
      <c r="Q115" s="23"/>
      <c r="R115" s="23"/>
      <c r="S115" s="23"/>
      <c r="T115" s="23"/>
      <c r="U115" s="23"/>
      <c r="V115" s="23"/>
    </row>
    <row r="116" spans="1:22" s="20" customFormat="1" ht="15" customHeight="1">
      <c r="A116" s="68">
        <v>98</v>
      </c>
      <c r="B116" s="56"/>
      <c r="C116" s="59" t="s">
        <v>146</v>
      </c>
      <c r="D116" s="56"/>
      <c r="E116" s="120" t="s">
        <v>107</v>
      </c>
      <c r="F116" s="121">
        <f>1200+7687.93+25200+55+26660</f>
        <v>60802.93</v>
      </c>
      <c r="G116" s="123">
        <f>7700+26000+27000+5000</f>
        <v>65700</v>
      </c>
      <c r="H116" s="125"/>
      <c r="I116" s="123"/>
      <c r="J116" s="117">
        <f t="shared" si="13"/>
        <v>60802.93</v>
      </c>
      <c r="K116" s="117">
        <f t="shared" si="14"/>
        <v>65700</v>
      </c>
      <c r="L116" s="108">
        <f t="shared" si="17"/>
        <v>6.7375854795905894E-3</v>
      </c>
      <c r="M116" s="108">
        <f t="shared" ref="M116:M149" si="18">J116/K116</f>
        <v>0.92546316590563171</v>
      </c>
      <c r="N116" s="317"/>
      <c r="O116" s="23"/>
      <c r="P116" s="23"/>
      <c r="Q116" s="23"/>
      <c r="R116" s="23"/>
      <c r="S116" s="23"/>
      <c r="T116" s="23"/>
      <c r="U116" s="23"/>
      <c r="V116" s="23"/>
    </row>
    <row r="117" spans="1:22" s="20" customFormat="1" ht="15" customHeight="1" thickBot="1">
      <c r="A117" s="192">
        <v>99</v>
      </c>
      <c r="B117" s="276"/>
      <c r="C117" s="276" t="s">
        <v>89</v>
      </c>
      <c r="D117" s="277"/>
      <c r="E117" s="278">
        <v>400</v>
      </c>
      <c r="F117" s="279">
        <f>SUM(F112:F116)</f>
        <v>121158.19</v>
      </c>
      <c r="G117" s="280">
        <f>SUM(G112:G116)</f>
        <v>130100</v>
      </c>
      <c r="H117" s="279">
        <f>SUM(H112:H116)</f>
        <v>6684.88</v>
      </c>
      <c r="I117" s="280">
        <f>SUM(I112:I116)</f>
        <v>15850</v>
      </c>
      <c r="J117" s="189">
        <f t="shared" si="13"/>
        <v>127843.07</v>
      </c>
      <c r="K117" s="189">
        <f t="shared" si="14"/>
        <v>145950</v>
      </c>
      <c r="L117" s="190">
        <f t="shared" si="17"/>
        <v>1.4967284638451241E-2</v>
      </c>
      <c r="M117" s="190">
        <f t="shared" si="18"/>
        <v>0.87593744433025011</v>
      </c>
      <c r="N117" s="321"/>
      <c r="O117" s="23"/>
      <c r="P117" s="23"/>
      <c r="Q117" s="23"/>
      <c r="R117" s="23"/>
      <c r="S117" s="23"/>
      <c r="T117" s="23"/>
      <c r="U117" s="23"/>
      <c r="V117" s="23"/>
    </row>
    <row r="118" spans="1:22" s="20" customFormat="1" ht="17.25" customHeight="1" thickTop="1">
      <c r="A118" s="268">
        <v>100</v>
      </c>
      <c r="B118" s="269" t="s">
        <v>108</v>
      </c>
      <c r="C118" s="269"/>
      <c r="D118" s="269"/>
      <c r="E118" s="270"/>
      <c r="F118" s="271"/>
      <c r="G118" s="272"/>
      <c r="H118" s="273"/>
      <c r="I118" s="272"/>
      <c r="J118" s="274"/>
      <c r="K118" s="274"/>
      <c r="L118" s="275"/>
      <c r="M118" s="275"/>
      <c r="N118" s="322"/>
      <c r="O118" s="23"/>
      <c r="P118" s="23"/>
      <c r="Q118" s="23"/>
      <c r="R118" s="23"/>
      <c r="S118" s="23"/>
      <c r="T118" s="23"/>
      <c r="U118" s="23"/>
      <c r="V118" s="23"/>
    </row>
    <row r="119" spans="1:22" s="20" customFormat="1" ht="17.25" customHeight="1">
      <c r="A119" s="68">
        <v>101</v>
      </c>
      <c r="B119" s="168"/>
      <c r="C119" s="144" t="s">
        <v>15</v>
      </c>
      <c r="D119" s="145"/>
      <c r="E119" s="165" t="s">
        <v>16</v>
      </c>
      <c r="F119" s="166">
        <f>1+241.31+4945.91+107.25+3125+359658.65+6073.25+2226.33</f>
        <v>376378.7</v>
      </c>
      <c r="G119" s="127">
        <f>3500+360000+6100+2300+50000</f>
        <v>421900</v>
      </c>
      <c r="H119" s="167">
        <f>318.51+2018.25+143-1+1500+967.16</f>
        <v>4945.92</v>
      </c>
      <c r="I119" s="127">
        <f>1000+2500+7000+1000+8000+6900+4200+1200+3736+1920</f>
        <v>37456</v>
      </c>
      <c r="J119" s="150">
        <f t="shared" si="13"/>
        <v>381324.62</v>
      </c>
      <c r="K119" s="150">
        <f t="shared" si="14"/>
        <v>459356</v>
      </c>
      <c r="L119" s="142">
        <f t="shared" ref="L119:L124" si="19">K119/$K$149</f>
        <v>4.7107310739160045E-2</v>
      </c>
      <c r="M119" s="142">
        <f t="shared" si="18"/>
        <v>0.83012874546103677</v>
      </c>
      <c r="N119" s="320"/>
      <c r="O119" s="23"/>
      <c r="P119" s="23"/>
      <c r="Q119" s="23"/>
      <c r="R119" s="23"/>
      <c r="S119" s="23"/>
      <c r="T119" s="23"/>
      <c r="U119" s="23"/>
      <c r="V119" s="23"/>
    </row>
    <row r="120" spans="1:22" s="20" customFormat="1" ht="15" customHeight="1">
      <c r="A120" s="68">
        <v>102</v>
      </c>
      <c r="B120" s="63"/>
      <c r="C120" s="56" t="s">
        <v>113</v>
      </c>
      <c r="D120" s="56"/>
      <c r="E120" s="115" t="s">
        <v>17</v>
      </c>
      <c r="F120" s="121">
        <f>7590+7336+21500.55+35719</f>
        <v>72145.55</v>
      </c>
      <c r="G120" s="123">
        <f>75000+10000</f>
        <v>85000</v>
      </c>
      <c r="H120" s="125"/>
      <c r="I120" s="123"/>
      <c r="J120" s="116">
        <f t="shared" si="13"/>
        <v>72145.55</v>
      </c>
      <c r="K120" s="116">
        <f t="shared" si="14"/>
        <v>85000</v>
      </c>
      <c r="L120" s="105">
        <f t="shared" si="19"/>
        <v>8.7168153084505352E-3</v>
      </c>
      <c r="M120" s="105">
        <f t="shared" si="18"/>
        <v>0.84877117647058831</v>
      </c>
      <c r="N120" s="317"/>
      <c r="O120" s="23"/>
      <c r="P120" s="23"/>
      <c r="Q120" s="23"/>
      <c r="R120" s="23"/>
      <c r="S120" s="23"/>
      <c r="T120" s="23"/>
      <c r="U120" s="23"/>
      <c r="V120" s="23"/>
    </row>
    <row r="121" spans="1:22" s="20" customFormat="1" ht="15" customHeight="1">
      <c r="A121" s="68">
        <v>103</v>
      </c>
      <c r="B121" s="56"/>
      <c r="C121" s="59" t="s">
        <v>124</v>
      </c>
      <c r="D121" s="56"/>
      <c r="E121" s="120" t="s">
        <v>109</v>
      </c>
      <c r="F121" s="121"/>
      <c r="G121" s="123"/>
      <c r="H121" s="125"/>
      <c r="I121" s="126"/>
      <c r="J121" s="116">
        <f t="shared" si="13"/>
        <v>0</v>
      </c>
      <c r="K121" s="116">
        <f t="shared" si="14"/>
        <v>0</v>
      </c>
      <c r="L121" s="105">
        <f t="shared" si="19"/>
        <v>0</v>
      </c>
      <c r="M121" s="105" t="e">
        <f t="shared" si="18"/>
        <v>#DIV/0!</v>
      </c>
      <c r="N121" s="317"/>
      <c r="O121" s="23"/>
      <c r="P121" s="23"/>
      <c r="Q121" s="23"/>
      <c r="R121" s="23"/>
      <c r="S121" s="23"/>
      <c r="T121" s="23"/>
      <c r="U121" s="23"/>
      <c r="V121" s="23"/>
    </row>
    <row r="122" spans="1:22" s="20" customFormat="1" ht="15" customHeight="1">
      <c r="A122" s="68">
        <v>104</v>
      </c>
      <c r="B122" s="56"/>
      <c r="C122" s="56" t="s">
        <v>18</v>
      </c>
      <c r="D122" s="56"/>
      <c r="E122" s="115" t="s">
        <v>155</v>
      </c>
      <c r="F122" s="121">
        <f>147.36+1545+7739.78+309.55+746.52+332+166+166+3673.79+1890.9+1254.81+678.43+1870+170.81+752+452.2+40.61+116.77+1222</f>
        <v>23274.530000000006</v>
      </c>
      <c r="G122" s="123">
        <f>23275+1265+5000</f>
        <v>29540</v>
      </c>
      <c r="H122" s="125">
        <f>918.18+595+146+633+475.97+864+1243.49+1516.33+334+5760.5+665.85+13145.5+5726+773.09+727.23+166+944.5+498+166+750.36+1238.99+166+2081.5</f>
        <v>39535.49</v>
      </c>
      <c r="I122" s="127">
        <f>1000+4000+4682+2700+27000+1000+10000+2200+5000</f>
        <v>57582</v>
      </c>
      <c r="J122" s="116">
        <f t="shared" si="13"/>
        <v>62810.020000000004</v>
      </c>
      <c r="K122" s="116">
        <f t="shared" si="14"/>
        <v>87122</v>
      </c>
      <c r="L122" s="105">
        <f t="shared" si="19"/>
        <v>8.934428038856794E-3</v>
      </c>
      <c r="M122" s="105">
        <f t="shared" si="18"/>
        <v>0.72094327494777444</v>
      </c>
      <c r="N122" s="317"/>
      <c r="O122" s="23"/>
      <c r="P122" s="23"/>
      <c r="Q122" s="23"/>
      <c r="R122" s="23"/>
      <c r="S122" s="23"/>
      <c r="T122" s="23"/>
      <c r="U122" s="23"/>
      <c r="V122" s="23"/>
    </row>
    <row r="123" spans="1:22" s="20" customFormat="1" ht="15" customHeight="1">
      <c r="A123" s="68">
        <v>105</v>
      </c>
      <c r="B123" s="56"/>
      <c r="C123" s="59" t="s">
        <v>147</v>
      </c>
      <c r="D123" s="56"/>
      <c r="E123" s="115" t="s">
        <v>134</v>
      </c>
      <c r="F123" s="121">
        <f>9096+755+45.35+286.08+2073.79+4381.21+223.5+2309.2+1221.71+4003.43</f>
        <v>24395.27</v>
      </c>
      <c r="G123" s="123">
        <f>12000+3000+3000+5000+1000+2500+3600+3000+30000</f>
        <v>63100</v>
      </c>
      <c r="H123" s="125">
        <f>1700+659+297+577+16900+145+945</f>
        <v>21223</v>
      </c>
      <c r="I123" s="123">
        <f>3000+1000+4000+17000+3500+800+1000+617+150+360+968</f>
        <v>32395</v>
      </c>
      <c r="J123" s="117">
        <f t="shared" si="13"/>
        <v>45618.270000000004</v>
      </c>
      <c r="K123" s="117">
        <f t="shared" si="14"/>
        <v>95495</v>
      </c>
      <c r="L123" s="108">
        <f t="shared" si="19"/>
        <v>9.7930856221233389E-3</v>
      </c>
      <c r="M123" s="108">
        <f t="shared" si="18"/>
        <v>0.47770323053563019</v>
      </c>
      <c r="N123" s="317"/>
      <c r="O123" s="23"/>
      <c r="P123" s="23"/>
      <c r="Q123" s="23"/>
      <c r="R123" s="23"/>
      <c r="S123" s="23"/>
      <c r="T123" s="23"/>
      <c r="U123" s="23"/>
      <c r="V123" s="23"/>
    </row>
    <row r="124" spans="1:22" s="20" customFormat="1" ht="15" customHeight="1">
      <c r="A124" s="193">
        <v>106</v>
      </c>
      <c r="B124" s="60"/>
      <c r="C124" s="60" t="s">
        <v>114</v>
      </c>
      <c r="D124" s="64"/>
      <c r="E124" s="118">
        <v>500</v>
      </c>
      <c r="F124" s="122">
        <f>SUM(F119:F123)</f>
        <v>496194.05000000005</v>
      </c>
      <c r="G124" s="124">
        <f>SUM(G119:G123)</f>
        <v>599540</v>
      </c>
      <c r="H124" s="122">
        <f>SUM(H119:H123)</f>
        <v>65704.41</v>
      </c>
      <c r="I124" s="124">
        <f>SUM(I119:I123)</f>
        <v>127433</v>
      </c>
      <c r="J124" s="110">
        <f t="shared" si="13"/>
        <v>561898.46000000008</v>
      </c>
      <c r="K124" s="110">
        <f t="shared" si="14"/>
        <v>726973</v>
      </c>
      <c r="L124" s="111">
        <f t="shared" si="19"/>
        <v>7.4551639708590717E-2</v>
      </c>
      <c r="M124" s="111">
        <f t="shared" si="18"/>
        <v>0.77292892583355921</v>
      </c>
      <c r="N124" s="318"/>
      <c r="O124" s="23"/>
      <c r="P124" s="23"/>
      <c r="Q124" s="23"/>
      <c r="R124" s="23"/>
      <c r="S124" s="23"/>
      <c r="T124" s="23"/>
      <c r="U124" s="23"/>
      <c r="V124" s="23"/>
    </row>
    <row r="125" spans="1:22" s="20" customFormat="1" ht="17.25" customHeight="1">
      <c r="A125" s="210">
        <v>107</v>
      </c>
      <c r="B125" s="57" t="s">
        <v>90</v>
      </c>
      <c r="C125" s="57"/>
      <c r="D125" s="57"/>
      <c r="E125" s="249"/>
      <c r="F125" s="253"/>
      <c r="G125" s="251"/>
      <c r="H125" s="252"/>
      <c r="I125" s="251"/>
      <c r="J125" s="250"/>
      <c r="K125" s="250"/>
      <c r="L125" s="112"/>
      <c r="M125" s="112"/>
      <c r="N125" s="319"/>
      <c r="O125" s="23"/>
      <c r="P125" s="23"/>
      <c r="Q125" s="23"/>
      <c r="R125" s="23"/>
      <c r="S125" s="23"/>
      <c r="T125" s="23"/>
      <c r="U125" s="23"/>
      <c r="V125" s="23"/>
    </row>
    <row r="126" spans="1:22" s="20" customFormat="1" ht="17.25" customHeight="1">
      <c r="A126" s="68">
        <v>108</v>
      </c>
      <c r="B126" s="168"/>
      <c r="C126" s="169" t="s">
        <v>40</v>
      </c>
      <c r="D126" s="145"/>
      <c r="E126" s="165">
        <v>610</v>
      </c>
      <c r="F126" s="166">
        <f>23845.5+448.97+33932.4+12916.73+381.28+203.94+81.43+299.94</f>
        <v>72110.19</v>
      </c>
      <c r="G126" s="127">
        <f>75630+4500+1000+35000</f>
        <v>116130</v>
      </c>
      <c r="H126" s="167">
        <f>3560+1022.46+243+700+6795+9435+1324+3195.54+4206.92+279.8+10397.62+350+158.32+506.8+10634.8+1991.02+6958.53+5375.33+1405.14+758+22372.6+8327.99+16398</f>
        <v>116395.86999999998</v>
      </c>
      <c r="I126" s="127">
        <f>2174+12661+14000+1000+24698+10000+2100+1945+5946+1055+1470+5482+14000+10000</f>
        <v>106531</v>
      </c>
      <c r="J126" s="150">
        <f t="shared" si="13"/>
        <v>188506.06</v>
      </c>
      <c r="K126" s="150">
        <f t="shared" si="14"/>
        <v>222661</v>
      </c>
      <c r="L126" s="142">
        <f t="shared" ref="L126:L131" si="20">K126/$K$149</f>
        <v>2.2834056628175347E-2</v>
      </c>
      <c r="M126" s="142">
        <f t="shared" si="18"/>
        <v>0.84660564714970288</v>
      </c>
      <c r="N126" s="320"/>
      <c r="O126" s="23"/>
      <c r="P126" s="23"/>
      <c r="Q126" s="23"/>
      <c r="R126" s="23"/>
      <c r="S126" s="23"/>
      <c r="T126" s="23"/>
      <c r="U126" s="23"/>
      <c r="V126" s="23"/>
    </row>
    <row r="127" spans="1:22" s="20" customFormat="1" ht="15" customHeight="1">
      <c r="A127" s="68">
        <v>109</v>
      </c>
      <c r="B127" s="63"/>
      <c r="C127" s="65" t="s">
        <v>78</v>
      </c>
      <c r="D127" s="56"/>
      <c r="E127" s="115" t="s">
        <v>19</v>
      </c>
      <c r="F127" s="121">
        <f>413.46+7253.55+1174.19+6982.29+242429.44</f>
        <v>258252.93</v>
      </c>
      <c r="G127" s="123">
        <f>258253+8000</f>
        <v>266253</v>
      </c>
      <c r="H127" s="125"/>
      <c r="I127" s="123"/>
      <c r="J127" s="116">
        <f t="shared" si="13"/>
        <v>258252.93</v>
      </c>
      <c r="K127" s="116">
        <f t="shared" si="14"/>
        <v>266253</v>
      </c>
      <c r="L127" s="105">
        <f t="shared" si="20"/>
        <v>2.7304449721422121E-2</v>
      </c>
      <c r="M127" s="105">
        <f t="shared" si="18"/>
        <v>0.96995312728870653</v>
      </c>
      <c r="N127" s="317"/>
      <c r="O127" s="23"/>
      <c r="P127" s="23"/>
      <c r="Q127" s="23"/>
      <c r="R127" s="23"/>
      <c r="S127" s="23"/>
      <c r="T127" s="23"/>
      <c r="U127" s="23"/>
      <c r="V127" s="23"/>
    </row>
    <row r="128" spans="1:22" s="20" customFormat="1" ht="15" customHeight="1">
      <c r="A128" s="68">
        <v>110</v>
      </c>
      <c r="B128" s="63"/>
      <c r="C128" s="65" t="s">
        <v>38</v>
      </c>
      <c r="D128" s="56"/>
      <c r="E128" s="115" t="s">
        <v>110</v>
      </c>
      <c r="F128" s="121">
        <f>372.54+218.8+41.28</f>
        <v>632.62</v>
      </c>
      <c r="G128" s="123"/>
      <c r="H128" s="125">
        <f>153154.98+25240.7+5015.24</f>
        <v>183410.92</v>
      </c>
      <c r="I128" s="123">
        <f>176128+29026.7+5767</f>
        <v>210921.7</v>
      </c>
      <c r="J128" s="116">
        <f t="shared" si="13"/>
        <v>184043.54</v>
      </c>
      <c r="K128" s="116">
        <f t="shared" si="14"/>
        <v>210921.7</v>
      </c>
      <c r="L128" s="105">
        <f t="shared" si="20"/>
        <v>2.1630182393463662E-2</v>
      </c>
      <c r="M128" s="105">
        <f t="shared" si="18"/>
        <v>0.87256806672807963</v>
      </c>
      <c r="N128" s="317"/>
      <c r="O128" s="23"/>
      <c r="P128" s="23"/>
      <c r="Q128" s="23"/>
      <c r="R128" s="23"/>
      <c r="S128" s="23"/>
      <c r="T128" s="23"/>
      <c r="U128" s="23"/>
      <c r="V128" s="23"/>
    </row>
    <row r="129" spans="1:22" s="20" customFormat="1" ht="15" customHeight="1">
      <c r="A129" s="68">
        <v>111</v>
      </c>
      <c r="B129" s="63"/>
      <c r="C129" s="56" t="s">
        <v>79</v>
      </c>
      <c r="D129" s="56"/>
      <c r="E129" s="115" t="s">
        <v>156</v>
      </c>
      <c r="F129" s="121">
        <f>24985.54+19638.97</f>
        <v>44624.51</v>
      </c>
      <c r="G129" s="123">
        <f>44625+1500+12000</f>
        <v>58125</v>
      </c>
      <c r="H129" s="125">
        <f>1808.78+120+843+7976.91+2797.2+48415.92</f>
        <v>61961.81</v>
      </c>
      <c r="I129" s="123"/>
      <c r="J129" s="116">
        <f t="shared" si="13"/>
        <v>106586.32</v>
      </c>
      <c r="K129" s="116">
        <f t="shared" si="14"/>
        <v>58125</v>
      </c>
      <c r="L129" s="105">
        <f t="shared" si="20"/>
        <v>5.9607634094551451E-3</v>
      </c>
      <c r="M129" s="105">
        <f t="shared" si="18"/>
        <v>1.8337431397849464</v>
      </c>
      <c r="N129" s="317"/>
      <c r="O129" s="23"/>
      <c r="P129" s="23"/>
      <c r="Q129" s="23"/>
      <c r="R129" s="23"/>
      <c r="S129" s="23"/>
      <c r="T129" s="23"/>
      <c r="U129" s="23"/>
      <c r="V129" s="23"/>
    </row>
    <row r="130" spans="1:22" s="20" customFormat="1" ht="15" customHeight="1">
      <c r="A130" s="68">
        <v>112</v>
      </c>
      <c r="B130" s="63"/>
      <c r="C130" s="59" t="s">
        <v>148</v>
      </c>
      <c r="D130" s="56"/>
      <c r="E130" s="115" t="s">
        <v>39</v>
      </c>
      <c r="F130" s="121">
        <f>851.99+1839.88+78.14+6761.68+287.52+75+817.79+25878.05+1033.53+14221.45+2118.23</f>
        <v>53963.26</v>
      </c>
      <c r="G130" s="123">
        <f>55963+3000+5000</f>
        <v>63963</v>
      </c>
      <c r="H130" s="125">
        <f>3492.56+796.29+170.62+1067.42+37784.23</f>
        <v>43311.12</v>
      </c>
      <c r="I130" s="123">
        <f>2000+2383+1300+5000+43451</f>
        <v>54134</v>
      </c>
      <c r="J130" s="117">
        <f t="shared" si="13"/>
        <v>97274.38</v>
      </c>
      <c r="K130" s="117">
        <f t="shared" si="14"/>
        <v>118097</v>
      </c>
      <c r="L130" s="108">
        <f t="shared" si="20"/>
        <v>1.2110938088024503E-2</v>
      </c>
      <c r="M130" s="108">
        <f t="shared" si="18"/>
        <v>0.8236820579692965</v>
      </c>
      <c r="N130" s="317"/>
      <c r="O130" s="23"/>
      <c r="P130" s="23"/>
      <c r="Q130" s="23"/>
      <c r="R130" s="23"/>
      <c r="S130" s="23"/>
      <c r="T130" s="23"/>
      <c r="U130" s="23"/>
      <c r="V130" s="23"/>
    </row>
    <row r="131" spans="1:22" s="20" customFormat="1" ht="15" customHeight="1">
      <c r="A131" s="193">
        <v>113</v>
      </c>
      <c r="B131" s="60"/>
      <c r="C131" s="60" t="s">
        <v>91</v>
      </c>
      <c r="D131" s="64"/>
      <c r="E131" s="118">
        <v>600</v>
      </c>
      <c r="F131" s="122">
        <f>SUM(F126:F130)</f>
        <v>429583.51</v>
      </c>
      <c r="G131" s="124">
        <f>SUM(G126:G130)</f>
        <v>504471</v>
      </c>
      <c r="H131" s="122">
        <f>SUM(H126:H130)</f>
        <v>405079.72</v>
      </c>
      <c r="I131" s="124">
        <f>SUM(I126:I130)</f>
        <v>371586.7</v>
      </c>
      <c r="J131" s="110">
        <f t="shared" si="13"/>
        <v>834663.23</v>
      </c>
      <c r="K131" s="110">
        <f t="shared" si="14"/>
        <v>876057.7</v>
      </c>
      <c r="L131" s="111">
        <f t="shared" si="20"/>
        <v>8.9840390240540774E-2</v>
      </c>
      <c r="M131" s="111">
        <f t="shared" si="18"/>
        <v>0.95274915111185032</v>
      </c>
      <c r="N131" s="318"/>
      <c r="O131" s="23"/>
      <c r="P131" s="23"/>
      <c r="Q131" s="23"/>
      <c r="R131" s="23"/>
      <c r="S131" s="23"/>
      <c r="T131" s="23"/>
      <c r="U131" s="23"/>
      <c r="V131" s="23"/>
    </row>
    <row r="132" spans="1:22" s="20" customFormat="1" ht="17.25" customHeight="1">
      <c r="A132" s="210">
        <v>114</v>
      </c>
      <c r="B132" s="57" t="s">
        <v>92</v>
      </c>
      <c r="C132" s="57"/>
      <c r="D132" s="57"/>
      <c r="E132" s="249"/>
      <c r="F132" s="253"/>
      <c r="G132" s="251"/>
      <c r="H132" s="252"/>
      <c r="I132" s="251"/>
      <c r="J132" s="250"/>
      <c r="K132" s="250"/>
      <c r="L132" s="112"/>
      <c r="M132" s="112"/>
      <c r="N132" s="319"/>
      <c r="O132" s="23"/>
      <c r="P132" s="23"/>
      <c r="Q132" s="23"/>
      <c r="R132" s="23"/>
      <c r="S132" s="23"/>
      <c r="T132" s="23"/>
      <c r="U132" s="23"/>
      <c r="V132" s="23"/>
    </row>
    <row r="133" spans="1:22" s="20" customFormat="1" ht="17.25" customHeight="1">
      <c r="A133" s="68">
        <v>115</v>
      </c>
      <c r="B133" s="168"/>
      <c r="C133" s="144" t="s">
        <v>135</v>
      </c>
      <c r="D133" s="145"/>
      <c r="E133" s="165">
        <v>710</v>
      </c>
      <c r="F133" s="166"/>
      <c r="G133" s="127"/>
      <c r="H133" s="167"/>
      <c r="I133" s="127"/>
      <c r="J133" s="150">
        <f t="shared" si="13"/>
        <v>0</v>
      </c>
      <c r="K133" s="150">
        <f t="shared" si="14"/>
        <v>0</v>
      </c>
      <c r="L133" s="142">
        <f>K133/$K$149</f>
        <v>0</v>
      </c>
      <c r="M133" s="142" t="e">
        <f t="shared" si="18"/>
        <v>#DIV/0!</v>
      </c>
      <c r="N133" s="320"/>
      <c r="O133" s="23"/>
      <c r="P133" s="23"/>
      <c r="Q133" s="23"/>
      <c r="R133" s="23"/>
      <c r="S133" s="23"/>
      <c r="T133" s="23"/>
      <c r="U133" s="23"/>
      <c r="V133" s="23"/>
    </row>
    <row r="134" spans="1:22" s="20" customFormat="1" ht="15" customHeight="1">
      <c r="A134" s="68">
        <v>116</v>
      </c>
      <c r="B134" s="63"/>
      <c r="C134" s="59" t="s">
        <v>80</v>
      </c>
      <c r="D134" s="56"/>
      <c r="E134" s="115">
        <v>720</v>
      </c>
      <c r="F134" s="121"/>
      <c r="G134" s="123"/>
      <c r="H134" s="125"/>
      <c r="I134" s="123"/>
      <c r="J134" s="116">
        <f t="shared" si="13"/>
        <v>0</v>
      </c>
      <c r="K134" s="116">
        <f t="shared" si="14"/>
        <v>0</v>
      </c>
      <c r="L134" s="105">
        <f>K134/$K$149</f>
        <v>0</v>
      </c>
      <c r="M134" s="105" t="e">
        <f t="shared" si="18"/>
        <v>#DIV/0!</v>
      </c>
      <c r="N134" s="317"/>
      <c r="O134" s="23"/>
      <c r="P134" s="23"/>
      <c r="Q134" s="23"/>
      <c r="R134" s="23"/>
      <c r="S134" s="23"/>
      <c r="T134" s="23"/>
      <c r="U134" s="23"/>
      <c r="V134" s="23"/>
    </row>
    <row r="135" spans="1:22" s="20" customFormat="1" ht="15" customHeight="1">
      <c r="A135" s="68">
        <v>117</v>
      </c>
      <c r="B135" s="63"/>
      <c r="C135" s="65" t="s">
        <v>20</v>
      </c>
      <c r="D135" s="56"/>
      <c r="E135" s="115" t="s">
        <v>136</v>
      </c>
      <c r="F135" s="121"/>
      <c r="G135" s="123"/>
      <c r="H135" s="125">
        <v>5049</v>
      </c>
      <c r="I135" s="123">
        <v>3888</v>
      </c>
      <c r="J135" s="89">
        <f t="shared" si="13"/>
        <v>5049</v>
      </c>
      <c r="K135" s="89">
        <f t="shared" si="14"/>
        <v>3888</v>
      </c>
      <c r="L135" s="105">
        <f>K135/$K$149</f>
        <v>3.9871738728536094E-4</v>
      </c>
      <c r="M135" s="105">
        <f t="shared" si="18"/>
        <v>1.2986111111111112</v>
      </c>
      <c r="N135" s="317"/>
      <c r="O135" s="23"/>
      <c r="P135" s="23"/>
      <c r="Q135" s="23"/>
      <c r="R135" s="23"/>
      <c r="S135" s="23"/>
      <c r="T135" s="23"/>
      <c r="U135" s="23"/>
      <c r="V135" s="23"/>
    </row>
    <row r="136" spans="1:22" s="20" customFormat="1" ht="15" customHeight="1">
      <c r="A136" s="68">
        <v>118</v>
      </c>
      <c r="B136" s="56"/>
      <c r="C136" s="65" t="s">
        <v>149</v>
      </c>
      <c r="D136" s="56"/>
      <c r="E136" s="115" t="s">
        <v>137</v>
      </c>
      <c r="F136" s="121">
        <f>11602.25</f>
        <v>11602.25</v>
      </c>
      <c r="G136" s="123">
        <f>30000</f>
        <v>30000</v>
      </c>
      <c r="H136" s="125"/>
      <c r="I136" s="123"/>
      <c r="J136" s="117">
        <f t="shared" si="13"/>
        <v>11602.25</v>
      </c>
      <c r="K136" s="117">
        <f t="shared" si="14"/>
        <v>30000</v>
      </c>
      <c r="L136" s="108">
        <f>K136/$K$149</f>
        <v>3.076523050041365E-3</v>
      </c>
      <c r="M136" s="108">
        <f t="shared" si="18"/>
        <v>0.38674166666666665</v>
      </c>
      <c r="N136" s="317"/>
      <c r="O136" s="23"/>
      <c r="P136" s="23"/>
      <c r="Q136" s="23"/>
      <c r="R136" s="23"/>
      <c r="S136" s="23"/>
      <c r="T136" s="23"/>
      <c r="U136" s="23"/>
      <c r="V136" s="23"/>
    </row>
    <row r="137" spans="1:22" s="20" customFormat="1" ht="15" customHeight="1">
      <c r="A137" s="193">
        <v>119</v>
      </c>
      <c r="B137" s="60"/>
      <c r="C137" s="60" t="s">
        <v>93</v>
      </c>
      <c r="D137" s="64"/>
      <c r="E137" s="118">
        <v>700</v>
      </c>
      <c r="F137" s="122">
        <f>SUM(F133:F136)</f>
        <v>11602.25</v>
      </c>
      <c r="G137" s="124">
        <f>SUM(G133:G136)</f>
        <v>30000</v>
      </c>
      <c r="H137" s="122">
        <f>SUM(H133:H136)</f>
        <v>5049</v>
      </c>
      <c r="I137" s="124">
        <f>SUM(I133:I136)</f>
        <v>3888</v>
      </c>
      <c r="J137" s="110">
        <f t="shared" si="13"/>
        <v>16651.25</v>
      </c>
      <c r="K137" s="110">
        <f t="shared" si="14"/>
        <v>33888</v>
      </c>
      <c r="L137" s="111">
        <f>K137/$K$149</f>
        <v>3.4752404373267261E-3</v>
      </c>
      <c r="M137" s="111">
        <f t="shared" si="18"/>
        <v>0.49136124881964116</v>
      </c>
      <c r="N137" s="318"/>
      <c r="O137" s="23"/>
      <c r="P137" s="23"/>
      <c r="Q137" s="23"/>
      <c r="R137" s="23"/>
      <c r="S137" s="23"/>
      <c r="T137" s="23"/>
      <c r="U137" s="23"/>
      <c r="V137" s="23"/>
    </row>
    <row r="138" spans="1:22" s="20" customFormat="1" ht="17.25" customHeight="1">
      <c r="A138" s="210">
        <v>120</v>
      </c>
      <c r="B138" s="57" t="s">
        <v>94</v>
      </c>
      <c r="C138" s="57"/>
      <c r="D138" s="57"/>
      <c r="E138" s="249"/>
      <c r="F138" s="253"/>
      <c r="G138" s="251"/>
      <c r="H138" s="252"/>
      <c r="I138" s="251"/>
      <c r="J138" s="250"/>
      <c r="K138" s="250"/>
      <c r="L138" s="112"/>
      <c r="M138" s="112"/>
      <c r="N138" s="319"/>
      <c r="O138" s="23"/>
      <c r="P138" s="23"/>
      <c r="Q138" s="23"/>
      <c r="R138" s="23"/>
      <c r="S138" s="23"/>
      <c r="T138" s="23"/>
      <c r="U138" s="23"/>
      <c r="V138" s="23"/>
    </row>
    <row r="139" spans="1:22" s="20" customFormat="1" ht="17.25" customHeight="1">
      <c r="A139" s="68">
        <v>121</v>
      </c>
      <c r="B139" s="168"/>
      <c r="C139" s="169" t="s">
        <v>141</v>
      </c>
      <c r="D139" s="145"/>
      <c r="E139" s="165">
        <v>810</v>
      </c>
      <c r="F139" s="166"/>
      <c r="G139" s="121">
        <f>102569.01+14652.72</f>
        <v>117221.73</v>
      </c>
      <c r="H139" s="167"/>
      <c r="I139" s="127"/>
      <c r="J139" s="150">
        <f>H139+F139</f>
        <v>0</v>
      </c>
      <c r="K139" s="150">
        <f>I139+G139</f>
        <v>117221.73</v>
      </c>
      <c r="L139" s="142">
        <f>K139/$K$149</f>
        <v>1.2021178477024179E-2</v>
      </c>
      <c r="M139" s="142">
        <f>J139/K139</f>
        <v>0</v>
      </c>
      <c r="N139" s="320"/>
      <c r="O139" s="23"/>
      <c r="P139" s="23"/>
      <c r="Q139" s="23"/>
      <c r="R139" s="23"/>
      <c r="S139" s="23"/>
      <c r="T139" s="23"/>
      <c r="U139" s="23"/>
      <c r="V139" s="23"/>
    </row>
    <row r="140" spans="1:22" s="20" customFormat="1" ht="15" customHeight="1">
      <c r="A140" s="68">
        <v>122</v>
      </c>
      <c r="B140" s="168"/>
      <c r="C140" s="144" t="s">
        <v>26</v>
      </c>
      <c r="D140" s="145"/>
      <c r="E140" s="165">
        <v>830</v>
      </c>
      <c r="F140" s="166"/>
      <c r="G140" s="127"/>
      <c r="H140" s="167"/>
      <c r="I140" s="127"/>
      <c r="J140" s="150">
        <f t="shared" si="13"/>
        <v>0</v>
      </c>
      <c r="K140" s="150">
        <f t="shared" si="14"/>
        <v>0</v>
      </c>
      <c r="L140" s="142">
        <f>K140/$K$149</f>
        <v>0</v>
      </c>
      <c r="M140" s="142" t="e">
        <f t="shared" si="18"/>
        <v>#DIV/0!</v>
      </c>
      <c r="N140" s="320"/>
      <c r="O140" s="23"/>
      <c r="P140" s="23"/>
      <c r="Q140" s="23"/>
      <c r="R140" s="23"/>
      <c r="S140" s="23"/>
      <c r="T140" s="23"/>
      <c r="U140" s="23"/>
      <c r="V140" s="23"/>
    </row>
    <row r="141" spans="1:22" s="20" customFormat="1" ht="15" customHeight="1">
      <c r="A141" s="68">
        <v>123</v>
      </c>
      <c r="B141" s="168"/>
      <c r="C141" s="144" t="s">
        <v>140</v>
      </c>
      <c r="D141" s="145"/>
      <c r="E141" s="165">
        <v>831</v>
      </c>
      <c r="F141" s="166"/>
      <c r="G141" s="127"/>
      <c r="H141" s="167"/>
      <c r="I141" s="127"/>
      <c r="J141" s="150">
        <f>H141+F141</f>
        <v>0</v>
      </c>
      <c r="K141" s="150">
        <f>I141+G141</f>
        <v>0</v>
      </c>
      <c r="L141" s="142">
        <f>K141/$K$149</f>
        <v>0</v>
      </c>
      <c r="M141" s="142" t="e">
        <f>J141/K141</f>
        <v>#DIV/0!</v>
      </c>
      <c r="N141" s="320"/>
      <c r="O141" s="23"/>
      <c r="P141" s="23"/>
      <c r="Q141" s="23"/>
      <c r="R141" s="23"/>
      <c r="S141" s="23"/>
      <c r="T141" s="23"/>
      <c r="U141" s="23"/>
      <c r="V141" s="23"/>
    </row>
    <row r="142" spans="1:22" s="20" customFormat="1" ht="15" customHeight="1">
      <c r="A142" s="68">
        <v>124</v>
      </c>
      <c r="B142" s="63"/>
      <c r="C142" s="59" t="s">
        <v>150</v>
      </c>
      <c r="D142" s="56"/>
      <c r="E142" s="115" t="s">
        <v>138</v>
      </c>
      <c r="F142" s="121">
        <f>10+9515-0.67+73.75+4100</f>
        <v>13698.08</v>
      </c>
      <c r="G142" s="123">
        <v>15000</v>
      </c>
      <c r="H142" s="125">
        <v>600</v>
      </c>
      <c r="I142" s="123">
        <v>1100</v>
      </c>
      <c r="J142" s="117">
        <f t="shared" si="13"/>
        <v>14298.08</v>
      </c>
      <c r="K142" s="117">
        <f t="shared" si="14"/>
        <v>16100</v>
      </c>
      <c r="L142" s="108">
        <f>K142/$K$149</f>
        <v>1.6510673701888659E-3</v>
      </c>
      <c r="M142" s="108">
        <f t="shared" si="18"/>
        <v>0.88807950310559003</v>
      </c>
      <c r="N142" s="317"/>
      <c r="O142" s="23"/>
      <c r="P142" s="23"/>
      <c r="Q142" s="23"/>
      <c r="R142" s="23"/>
      <c r="S142" s="23"/>
      <c r="T142" s="23"/>
      <c r="U142" s="23"/>
      <c r="V142" s="23"/>
    </row>
    <row r="143" spans="1:22" s="20" customFormat="1" ht="15" customHeight="1">
      <c r="A143" s="193">
        <v>125</v>
      </c>
      <c r="B143" s="60"/>
      <c r="C143" s="60" t="s">
        <v>95</v>
      </c>
      <c r="D143" s="64"/>
      <c r="E143" s="118">
        <v>800</v>
      </c>
      <c r="F143" s="122">
        <f>SUM(F139:F142)</f>
        <v>13698.08</v>
      </c>
      <c r="G143" s="124">
        <f>SUM(G139:G142)</f>
        <v>132221.72999999998</v>
      </c>
      <c r="H143" s="122">
        <f>SUM(H139:H142)</f>
        <v>600</v>
      </c>
      <c r="I143" s="124">
        <f>SUM(I139:I142)</f>
        <v>1100</v>
      </c>
      <c r="J143" s="110">
        <f t="shared" si="13"/>
        <v>14298.08</v>
      </c>
      <c r="K143" s="110">
        <f t="shared" si="14"/>
        <v>133321.72999999998</v>
      </c>
      <c r="L143" s="111">
        <f>K143/$K$149</f>
        <v>1.3672245847213044E-2</v>
      </c>
      <c r="M143" s="111">
        <f t="shared" si="18"/>
        <v>0.1072449329902935</v>
      </c>
      <c r="N143" s="318"/>
      <c r="O143" s="23"/>
      <c r="P143" s="23"/>
      <c r="Q143" s="23"/>
      <c r="R143" s="23"/>
      <c r="S143" s="23"/>
      <c r="T143" s="23"/>
      <c r="U143" s="23"/>
      <c r="V143" s="23"/>
    </row>
    <row r="144" spans="1:22" s="20" customFormat="1" ht="17.25" customHeight="1">
      <c r="A144" s="210">
        <v>126</v>
      </c>
      <c r="B144" s="57" t="s">
        <v>97</v>
      </c>
      <c r="C144" s="57"/>
      <c r="D144" s="57"/>
      <c r="E144" s="249"/>
      <c r="F144" s="253"/>
      <c r="G144" s="251"/>
      <c r="H144" s="252"/>
      <c r="I144" s="251"/>
      <c r="J144" s="250"/>
      <c r="K144" s="250"/>
      <c r="L144" s="112"/>
      <c r="M144" s="112"/>
      <c r="N144" s="319"/>
      <c r="O144" s="23"/>
      <c r="P144" s="23"/>
      <c r="Q144" s="23"/>
      <c r="R144" s="23"/>
      <c r="S144" s="23"/>
      <c r="T144" s="23"/>
      <c r="U144" s="23"/>
      <c r="V144" s="23"/>
    </row>
    <row r="145" spans="1:15" s="20" customFormat="1" ht="17.25" customHeight="1">
      <c r="A145" s="68">
        <v>127</v>
      </c>
      <c r="B145" s="63"/>
      <c r="C145" s="56" t="s">
        <v>21</v>
      </c>
      <c r="D145" s="56"/>
      <c r="E145" s="115">
        <v>933</v>
      </c>
      <c r="F145" s="121"/>
      <c r="G145" s="123"/>
      <c r="H145" s="125"/>
      <c r="I145" s="123"/>
      <c r="J145" s="116">
        <f t="shared" si="13"/>
        <v>0</v>
      </c>
      <c r="K145" s="116">
        <f t="shared" si="14"/>
        <v>0</v>
      </c>
      <c r="L145" s="105">
        <f>K145/$K$149</f>
        <v>0</v>
      </c>
      <c r="M145" s="105" t="e">
        <f t="shared" si="18"/>
        <v>#DIV/0!</v>
      </c>
      <c r="N145" s="76"/>
    </row>
    <row r="146" spans="1:15" s="20" customFormat="1" ht="15" customHeight="1">
      <c r="A146" s="68">
        <v>128</v>
      </c>
      <c r="B146" s="63"/>
      <c r="C146" s="56" t="s">
        <v>151</v>
      </c>
      <c r="D146" s="56"/>
      <c r="E146" s="115" t="s">
        <v>139</v>
      </c>
      <c r="F146" s="121">
        <f>-151374</f>
        <v>-151374</v>
      </c>
      <c r="G146" s="123">
        <f>-107858-200</f>
        <v>-108058</v>
      </c>
      <c r="H146" s="125">
        <v>151374</v>
      </c>
      <c r="I146" s="123">
        <f>107858+200</f>
        <v>108058</v>
      </c>
      <c r="J146" s="116">
        <f>H146+F146</f>
        <v>0</v>
      </c>
      <c r="K146" s="116">
        <f>I146+G146</f>
        <v>0</v>
      </c>
      <c r="L146" s="105">
        <f>K146/$K$149</f>
        <v>0</v>
      </c>
      <c r="M146" s="105" t="e">
        <f>J146/K146</f>
        <v>#DIV/0!</v>
      </c>
      <c r="N146" s="315" t="s">
        <v>189</v>
      </c>
    </row>
    <row r="147" spans="1:15" s="20" customFormat="1" ht="15" customHeight="1">
      <c r="A147" s="68">
        <v>129</v>
      </c>
      <c r="B147" s="56"/>
      <c r="C147" s="65"/>
      <c r="D147" s="56"/>
      <c r="E147" s="115"/>
      <c r="F147" s="121"/>
      <c r="G147" s="123"/>
      <c r="H147" s="125"/>
      <c r="I147" s="123"/>
      <c r="J147" s="117">
        <f t="shared" si="13"/>
        <v>0</v>
      </c>
      <c r="K147" s="117">
        <f t="shared" si="14"/>
        <v>0</v>
      </c>
      <c r="L147" s="108">
        <f>K147/$K$149</f>
        <v>0</v>
      </c>
      <c r="M147" s="108" t="e">
        <f t="shared" si="18"/>
        <v>#DIV/0!</v>
      </c>
      <c r="N147" s="76"/>
    </row>
    <row r="148" spans="1:15" s="20" customFormat="1" ht="15" customHeight="1">
      <c r="A148" s="193">
        <v>130</v>
      </c>
      <c r="B148" s="60"/>
      <c r="C148" s="60" t="s">
        <v>96</v>
      </c>
      <c r="D148" s="64"/>
      <c r="E148" s="118">
        <v>900</v>
      </c>
      <c r="F148" s="122">
        <f>SUM(F145:F147)</f>
        <v>-151374</v>
      </c>
      <c r="G148" s="124">
        <f>SUM(G145:G147)</f>
        <v>-108058</v>
      </c>
      <c r="H148" s="122">
        <f>SUM(H145:H147)</f>
        <v>151374</v>
      </c>
      <c r="I148" s="124">
        <f>SUM(I145:I147)</f>
        <v>108058</v>
      </c>
      <c r="J148" s="110">
        <f t="shared" si="13"/>
        <v>0</v>
      </c>
      <c r="K148" s="110">
        <f t="shared" si="14"/>
        <v>0</v>
      </c>
      <c r="L148" s="111">
        <f>K148/$K$149</f>
        <v>0</v>
      </c>
      <c r="M148" s="111" t="e">
        <f t="shared" si="18"/>
        <v>#DIV/0!</v>
      </c>
      <c r="N148" s="77"/>
    </row>
    <row r="149" spans="1:15" s="20" customFormat="1" ht="17.25" customHeight="1" thickBot="1">
      <c r="A149" s="192">
        <v>131</v>
      </c>
      <c r="B149" s="184"/>
      <c r="C149" s="184"/>
      <c r="D149" s="185" t="s">
        <v>22</v>
      </c>
      <c r="E149" s="186" t="s">
        <v>23</v>
      </c>
      <c r="F149" s="187">
        <f>+F148+F143+F137+F131+F124+F117+F110+F104+F95</f>
        <v>7169834.4000000004</v>
      </c>
      <c r="G149" s="188">
        <f>+G148+G143+G137+G131+G124+G117+G110+G104+G95</f>
        <v>7874911.3900000006</v>
      </c>
      <c r="H149" s="187">
        <f>+H148+H143+H137+H131+H124+H117+H110+H104+H95</f>
        <v>1836352.5100000002</v>
      </c>
      <c r="I149" s="188">
        <f>+I148+I143+I137+I131+I124+I117+I110+I104+I95</f>
        <v>1876356.3599999999</v>
      </c>
      <c r="J149" s="189">
        <f>H149+F149</f>
        <v>9006186.9100000001</v>
      </c>
      <c r="K149" s="189">
        <f t="shared" si="14"/>
        <v>9751267.75</v>
      </c>
      <c r="L149" s="190">
        <f>K149/$K$149</f>
        <v>1</v>
      </c>
      <c r="M149" s="190">
        <f t="shared" si="18"/>
        <v>0.92359138738652724</v>
      </c>
      <c r="N149" s="191"/>
    </row>
    <row r="150" spans="1:15" s="21" customFormat="1" ht="17.25" customHeight="1" thickTop="1" thickBot="1">
      <c r="A150" s="41"/>
      <c r="B150" s="38"/>
      <c r="C150" s="38"/>
      <c r="D150" s="38"/>
      <c r="E150" s="23"/>
      <c r="F150" s="42"/>
      <c r="G150" s="43"/>
      <c r="H150" s="43"/>
      <c r="I150" s="43"/>
      <c r="J150" s="22"/>
      <c r="K150" s="22"/>
      <c r="L150" s="22"/>
      <c r="M150" s="22"/>
      <c r="N150" s="22"/>
    </row>
    <row r="151" spans="1:15" s="34" customFormat="1" ht="15" customHeight="1" thickTop="1" thickBot="1">
      <c r="A151" s="30"/>
      <c r="B151" s="22"/>
      <c r="C151" s="23"/>
      <c r="D151" s="24"/>
      <c r="E151" s="69" t="s">
        <v>115</v>
      </c>
      <c r="F151" s="281">
        <f>F83-F149</f>
        <v>1709508.8899999987</v>
      </c>
      <c r="G151" s="282">
        <f>G83-G149</f>
        <v>2657111.6099999994</v>
      </c>
      <c r="H151" s="282">
        <f>H83-H149</f>
        <v>0.35999999986961484</v>
      </c>
      <c r="I151" s="283">
        <f>I83-I149</f>
        <v>-0.35999999986961484</v>
      </c>
      <c r="J151" s="70">
        <f t="shared" ref="J151:J153" si="21">F151+H151</f>
        <v>1709509.2499999986</v>
      </c>
      <c r="K151" s="71" t="s">
        <v>165</v>
      </c>
      <c r="L151" s="22"/>
      <c r="M151" s="22"/>
      <c r="N151" s="22"/>
    </row>
    <row r="152" spans="1:15" s="21" customFormat="1" ht="21" customHeight="1" thickTop="1" thickBot="1">
      <c r="A152" s="30"/>
      <c r="B152" s="22"/>
      <c r="C152" s="23"/>
      <c r="D152" s="24"/>
      <c r="E152" s="69" t="s">
        <v>116</v>
      </c>
      <c r="F152" s="288"/>
      <c r="G152" s="289">
        <f>F153</f>
        <v>1709508.8899999987</v>
      </c>
      <c r="H152" s="287"/>
      <c r="I152" s="290">
        <f>H153</f>
        <v>0.35999999986961484</v>
      </c>
      <c r="J152" s="72">
        <f>F152+H152</f>
        <v>0</v>
      </c>
      <c r="K152" s="73">
        <f>G152+I152</f>
        <v>1709509.2499999986</v>
      </c>
      <c r="L152" s="22"/>
      <c r="M152" s="22"/>
      <c r="N152" s="22"/>
      <c r="O152" s="22"/>
    </row>
    <row r="153" spans="1:15" s="21" customFormat="1" ht="18.75" customHeight="1" thickTop="1">
      <c r="A153" s="30"/>
      <c r="B153" s="22"/>
      <c r="C153" s="23"/>
      <c r="D153" s="24"/>
      <c r="E153" s="69" t="s">
        <v>117</v>
      </c>
      <c r="F153" s="284">
        <f>SUM(F151:F152)</f>
        <v>1709508.8899999987</v>
      </c>
      <c r="G153" s="285">
        <f>SUM(G151:G152)</f>
        <v>4366620.4999999981</v>
      </c>
      <c r="H153" s="285">
        <f>SUM(H151:H152)</f>
        <v>0.35999999986961484</v>
      </c>
      <c r="I153" s="286">
        <f>SUM(I151:I152)</f>
        <v>0</v>
      </c>
      <c r="J153" s="74">
        <f t="shared" si="21"/>
        <v>1709509.2499999986</v>
      </c>
      <c r="K153" s="75">
        <f>G153+I153</f>
        <v>4366620.4999999981</v>
      </c>
      <c r="L153" s="22"/>
      <c r="M153" s="22"/>
      <c r="N153" s="22"/>
      <c r="O153" s="22"/>
    </row>
    <row r="154" spans="1:15" s="21" customFormat="1" ht="18.75" customHeight="1">
      <c r="A154" s="30"/>
      <c r="B154" s="22"/>
      <c r="C154" s="23"/>
      <c r="D154" s="24"/>
      <c r="E154" s="25"/>
      <c r="F154" s="32"/>
      <c r="G154" s="29"/>
      <c r="H154" s="33"/>
      <c r="I154" s="29"/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26"/>
      <c r="L156" s="22"/>
      <c r="M156" s="22"/>
      <c r="N156" s="22"/>
      <c r="O156" s="22"/>
    </row>
    <row r="157" spans="1:15" s="21" customFormat="1" ht="15" customHeight="1">
      <c r="A157" s="31"/>
      <c r="B157" s="20"/>
      <c r="C157" s="20"/>
      <c r="D157" s="28"/>
      <c r="E157" s="29"/>
      <c r="F157" s="20"/>
      <c r="G157" s="20"/>
      <c r="H157" s="35"/>
      <c r="I157" s="37"/>
      <c r="J157" s="20"/>
      <c r="K157" s="20"/>
      <c r="L157" s="23"/>
      <c r="M157" s="23"/>
      <c r="N157" s="23"/>
      <c r="O157" s="22"/>
    </row>
    <row r="158" spans="1:15" s="20" customFormat="1" ht="15" customHeight="1">
      <c r="A158" s="31"/>
      <c r="H158" s="36"/>
      <c r="I158" s="37"/>
      <c r="L158" s="23"/>
      <c r="M158" s="23"/>
      <c r="N158" s="23"/>
      <c r="O158" s="23"/>
    </row>
    <row r="159" spans="1:15" s="20" customFormat="1" ht="15" customHeight="1">
      <c r="A159" s="31"/>
      <c r="H159" s="35"/>
      <c r="I159" s="37"/>
      <c r="L159" s="23"/>
      <c r="M159" s="23"/>
      <c r="N159" s="23"/>
      <c r="O159" s="23"/>
    </row>
    <row r="160" spans="1:15" s="20" customFormat="1" ht="15" customHeight="1">
      <c r="A160" s="31"/>
      <c r="O160" s="23"/>
    </row>
    <row r="161" spans="1:14" s="20" customFormat="1" ht="15" customHeight="1">
      <c r="A161" s="31"/>
    </row>
    <row r="162" spans="1:14" s="20" customFormat="1" ht="15" customHeight="1">
      <c r="A162" s="27"/>
    </row>
    <row r="163" spans="1:14" s="20" customFormat="1" ht="15" customHeight="1">
      <c r="A163" s="27"/>
    </row>
    <row r="164" spans="1:14" s="20" customFormat="1" ht="15" customHeight="1">
      <c r="A164" s="27"/>
    </row>
    <row r="165" spans="1:14" s="20" customFormat="1" ht="15" customHeight="1">
      <c r="A165" s="27"/>
    </row>
    <row r="166" spans="1:14" s="20" customFormat="1" ht="15" customHeight="1">
      <c r="A166" s="27"/>
    </row>
    <row r="167" spans="1:14" s="20" customFormat="1" ht="15" customHeight="1">
      <c r="A167" s="27"/>
    </row>
    <row r="168" spans="1:14" s="20" customFormat="1" ht="15" customHeight="1">
      <c r="A168" s="27"/>
    </row>
    <row r="169" spans="1:14" s="20" customFormat="1" ht="15" customHeight="1">
      <c r="A169" s="27"/>
    </row>
    <row r="170" spans="1:14" s="20" customFormat="1" ht="15" customHeight="1">
      <c r="A170" s="27"/>
    </row>
    <row r="171" spans="1:14" s="20" customFormat="1" ht="15" customHeight="1">
      <c r="A171" s="27"/>
    </row>
    <row r="172" spans="1:14" s="20" customFormat="1" ht="15" customHeight="1">
      <c r="A172" s="27"/>
    </row>
    <row r="173" spans="1:14" s="20" customFormat="1" ht="15" customHeight="1">
      <c r="A173" s="27"/>
    </row>
    <row r="174" spans="1:14" s="20" customFormat="1" ht="15" customHeight="1">
      <c r="A174" s="27"/>
    </row>
    <row r="175" spans="1:14" s="20" customFormat="1" ht="15" customHeight="1">
      <c r="A175" s="27"/>
    </row>
    <row r="176" spans="1:14" s="20" customFormat="1" ht="15" customHeight="1">
      <c r="A176" s="1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7" customFormat="1" ht="15" customHeight="1">
      <c r="A177" s="1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</sheetData>
  <sheetProtection insertRows="0"/>
  <mergeCells count="23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52"/>
  <sheetViews>
    <sheetView showGridLines="0" defaultGridColor="0" view="pageBreakPreview" colorId="22" zoomScale="80" zoomScaleNormal="68" zoomScaleSheetLayoutView="80" zoomScalePageLayoutView="68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21" sqref="E21"/>
    </sheetView>
  </sheetViews>
  <sheetFormatPr defaultColWidth="11.44140625" defaultRowHeight="15"/>
  <cols>
    <col min="1" max="1" width="3.21875" style="295" customWidth="1"/>
    <col min="2" max="2" width="2" style="1" customWidth="1"/>
    <col min="3" max="3" width="2.44140625" style="1" customWidth="1"/>
    <col min="4" max="4" width="45.21875" style="1" customWidth="1"/>
    <col min="5" max="5" width="21.88671875" style="1" customWidth="1"/>
    <col min="6" max="16384" width="11.44140625" style="1"/>
  </cols>
  <sheetData>
    <row r="1" spans="1:5" ht="21.95" customHeight="1">
      <c r="A1" s="342" t="s">
        <v>158</v>
      </c>
      <c r="B1" s="342"/>
      <c r="C1" s="342"/>
      <c r="D1" s="342"/>
      <c r="E1" s="342"/>
    </row>
    <row r="2" spans="1:5" ht="20.100000000000001" customHeight="1">
      <c r="A2" s="342" t="s">
        <v>169</v>
      </c>
      <c r="B2" s="342"/>
      <c r="C2" s="342"/>
      <c r="D2" s="342"/>
      <c r="E2" s="342"/>
    </row>
    <row r="3" spans="1:5" ht="20.100000000000001" customHeight="1">
      <c r="A3" s="342"/>
      <c r="B3" s="343"/>
      <c r="C3" s="343"/>
      <c r="D3" s="343"/>
      <c r="E3" s="343"/>
    </row>
    <row r="4" spans="1:5" ht="20.100000000000001" customHeight="1" thickBot="1">
      <c r="B4" s="2"/>
      <c r="C4" s="2"/>
      <c r="D4" s="2"/>
      <c r="E4" s="2"/>
    </row>
    <row r="5" spans="1:5" ht="20.25" customHeight="1" thickTop="1">
      <c r="A5" s="296"/>
      <c r="C5" s="15" t="s">
        <v>0</v>
      </c>
      <c r="D5" s="379"/>
    </row>
    <row r="6" spans="1:5" ht="21.75" customHeight="1" thickBot="1">
      <c r="D6" s="380"/>
    </row>
    <row r="7" spans="1:5" ht="9.9499999999999993" customHeight="1" thickTop="1">
      <c r="A7" s="297"/>
      <c r="B7" s="331" t="s">
        <v>159</v>
      </c>
      <c r="C7" s="331"/>
      <c r="D7" s="332"/>
      <c r="E7" s="372" t="s">
        <v>160</v>
      </c>
    </row>
    <row r="8" spans="1:5" ht="9.9499999999999993" customHeight="1">
      <c r="A8" s="298"/>
      <c r="B8" s="333"/>
      <c r="C8" s="333"/>
      <c r="D8" s="334"/>
      <c r="E8" s="373"/>
    </row>
    <row r="9" spans="1:5" ht="16.5" customHeight="1">
      <c r="A9" s="298"/>
      <c r="B9" s="333"/>
      <c r="C9" s="333"/>
      <c r="D9" s="334"/>
      <c r="E9" s="337" t="s">
        <v>175</v>
      </c>
    </row>
    <row r="10" spans="1:5" ht="15" customHeight="1">
      <c r="A10" s="298"/>
      <c r="B10" s="333"/>
      <c r="C10" s="333"/>
      <c r="D10" s="334"/>
      <c r="E10" s="338"/>
    </row>
    <row r="11" spans="1:5" ht="32.25" customHeight="1" thickBot="1">
      <c r="A11" s="299"/>
      <c r="B11" s="335"/>
      <c r="C11" s="335"/>
      <c r="D11" s="336"/>
      <c r="E11" s="339"/>
    </row>
    <row r="12" spans="1:5" s="19" customFormat="1" ht="25.5" customHeight="1" thickTop="1">
      <c r="A12" s="66"/>
      <c r="B12" s="376"/>
      <c r="C12" s="377"/>
      <c r="D12" s="378"/>
      <c r="E12" s="212"/>
    </row>
    <row r="13" spans="1:5" s="7" customFormat="1" ht="18" customHeight="1">
      <c r="A13" s="208">
        <v>1</v>
      </c>
      <c r="B13" s="159" t="s">
        <v>161</v>
      </c>
      <c r="C13" s="159"/>
      <c r="D13" s="159"/>
      <c r="E13" s="300"/>
    </row>
    <row r="14" spans="1:5" s="7" customFormat="1" ht="14.25">
      <c r="A14" s="301">
        <v>2</v>
      </c>
      <c r="B14" s="302"/>
      <c r="C14" s="303" t="s">
        <v>162</v>
      </c>
      <c r="D14" s="303"/>
      <c r="E14" s="304">
        <f>'Annual FY17-18'!J153</f>
        <v>1709509.2499999986</v>
      </c>
    </row>
    <row r="15" spans="1:5" s="7" customFormat="1" ht="14.25">
      <c r="A15" s="301">
        <v>3</v>
      </c>
      <c r="B15" s="305"/>
      <c r="C15" s="306" t="s">
        <v>163</v>
      </c>
      <c r="D15" s="306"/>
      <c r="E15" s="307">
        <f>'Annual FY17-18'!J149</f>
        <v>9006186.9100000001</v>
      </c>
    </row>
    <row r="16" spans="1:5" s="7" customFormat="1" ht="18" customHeight="1">
      <c r="A16" s="194">
        <v>4</v>
      </c>
      <c r="B16" s="308" t="s">
        <v>161</v>
      </c>
      <c r="C16" s="52"/>
      <c r="D16" s="52"/>
      <c r="E16" s="309">
        <f>E14/E15</f>
        <v>0.18981498686218123</v>
      </c>
    </row>
    <row r="17" spans="1:6" s="7" customFormat="1" ht="14.25">
      <c r="A17" s="67">
        <v>5</v>
      </c>
      <c r="B17" s="152"/>
      <c r="C17" s="153"/>
      <c r="D17" s="153"/>
      <c r="E17" s="310"/>
    </row>
    <row r="18" spans="1:6" s="7" customFormat="1" ht="18" customHeight="1">
      <c r="A18" s="208">
        <v>6</v>
      </c>
      <c r="B18" s="159" t="s">
        <v>164</v>
      </c>
      <c r="C18" s="159"/>
      <c r="D18" s="159"/>
      <c r="E18" s="311"/>
    </row>
    <row r="19" spans="1:6" s="7" customFormat="1" ht="14.25">
      <c r="A19" s="67">
        <v>7</v>
      </c>
      <c r="B19" s="128"/>
      <c r="C19" s="129" t="s">
        <v>176</v>
      </c>
      <c r="D19" s="129"/>
      <c r="E19" s="312">
        <v>1103690</v>
      </c>
    </row>
    <row r="20" spans="1:6" s="7" customFormat="1" ht="14.25">
      <c r="A20" s="67">
        <v>8</v>
      </c>
      <c r="B20" s="45"/>
      <c r="C20" s="46" t="s">
        <v>177</v>
      </c>
      <c r="D20" s="53"/>
      <c r="E20" s="313">
        <v>9121252</v>
      </c>
    </row>
    <row r="21" spans="1:6" s="7" customFormat="1" ht="18" customHeight="1" thickBot="1">
      <c r="A21" s="195">
        <v>9</v>
      </c>
      <c r="B21" s="196" t="s">
        <v>164</v>
      </c>
      <c r="C21" s="197"/>
      <c r="D21" s="197"/>
      <c r="E21" s="314">
        <f>E19/E20</f>
        <v>0.12100202910740762</v>
      </c>
    </row>
    <row r="22" spans="1:6" s="21" customFormat="1" ht="18.75" customHeight="1" thickTop="1">
      <c r="A22" s="30"/>
      <c r="B22" s="22"/>
      <c r="C22" s="23"/>
      <c r="D22" s="24"/>
      <c r="E22" s="32"/>
      <c r="F22" s="22"/>
    </row>
    <row r="23" spans="1:6" s="21" customFormat="1" ht="15" customHeight="1">
      <c r="A23" s="30"/>
      <c r="B23" s="22"/>
      <c r="C23" s="23"/>
      <c r="D23" s="24"/>
      <c r="E23" s="26"/>
      <c r="F23" s="22"/>
    </row>
    <row r="24" spans="1:6" s="20" customFormat="1" ht="15" customHeight="1">
      <c r="A24" s="31"/>
      <c r="D24" s="28"/>
      <c r="F24" s="23"/>
    </row>
    <row r="25" spans="1:6" s="20" customFormat="1" ht="15" customHeight="1">
      <c r="A25" s="31"/>
      <c r="F25" s="23"/>
    </row>
    <row r="26" spans="1:6" s="20" customFormat="1" ht="15" customHeight="1">
      <c r="A26" s="31"/>
      <c r="F26" s="23"/>
    </row>
    <row r="27" spans="1:6" s="20" customFormat="1" ht="15" customHeight="1">
      <c r="A27" s="31"/>
    </row>
    <row r="28" spans="1:6" s="20" customFormat="1" ht="15" customHeight="1">
      <c r="A28" s="31"/>
    </row>
    <row r="29" spans="1:6" s="20" customFormat="1" ht="15" customHeight="1">
      <c r="A29" s="27"/>
    </row>
    <row r="30" spans="1:6" s="20" customFormat="1" ht="15" customHeight="1">
      <c r="A30" s="27"/>
    </row>
    <row r="31" spans="1:6" s="20" customFormat="1" ht="15" customHeight="1">
      <c r="A31" s="27"/>
    </row>
    <row r="32" spans="1:6" s="20" customFormat="1" ht="15" customHeight="1">
      <c r="A32" s="27"/>
    </row>
    <row r="33" spans="1:1" s="20" customFormat="1" ht="15" customHeight="1">
      <c r="A33" s="27"/>
    </row>
    <row r="34" spans="1:1" s="20" customFormat="1" ht="15" customHeight="1">
      <c r="A34" s="27"/>
    </row>
    <row r="35" spans="1:1" s="20" customFormat="1" ht="15" customHeight="1">
      <c r="A35" s="27"/>
    </row>
    <row r="36" spans="1:1" s="20" customFormat="1" ht="15" customHeight="1">
      <c r="A36" s="27"/>
    </row>
    <row r="37" spans="1:1" s="20" customFormat="1" ht="15" customHeight="1">
      <c r="A37" s="27"/>
    </row>
    <row r="38" spans="1:1" s="20" customFormat="1" ht="15" customHeight="1">
      <c r="A38" s="27"/>
    </row>
    <row r="39" spans="1:1" s="20" customFormat="1" ht="15" customHeight="1">
      <c r="A39" s="27"/>
    </row>
    <row r="40" spans="1:1" s="20" customFormat="1" ht="15" customHeight="1">
      <c r="A40" s="27"/>
    </row>
    <row r="41" spans="1:1" s="20" customFormat="1" ht="15" customHeight="1">
      <c r="A41" s="27"/>
    </row>
    <row r="42" spans="1:1" s="20" customFormat="1" ht="15" customHeight="1">
      <c r="A42" s="27"/>
    </row>
    <row r="43" spans="1:1" s="7" customFormat="1" ht="15" customHeight="1">
      <c r="A43" s="17"/>
    </row>
    <row r="44" spans="1:1" s="7" customFormat="1" ht="15" customHeight="1">
      <c r="A44" s="17"/>
    </row>
    <row r="45" spans="1:1" s="7" customFormat="1" ht="15" customHeight="1">
      <c r="A45" s="17"/>
    </row>
    <row r="46" spans="1:1" s="7" customFormat="1" ht="15" customHeight="1">
      <c r="A46" s="17"/>
    </row>
    <row r="47" spans="1:1" s="7" customFormat="1" ht="15" customHeight="1">
      <c r="A47" s="17"/>
    </row>
    <row r="48" spans="1:1" s="7" customFormat="1" ht="15" customHeight="1">
      <c r="A48" s="17"/>
    </row>
    <row r="49" spans="1:1" s="7" customFormat="1" ht="15" customHeight="1">
      <c r="A49" s="17"/>
    </row>
    <row r="50" spans="1:1" s="7" customFormat="1" ht="15" customHeight="1">
      <c r="A50" s="17"/>
    </row>
    <row r="51" spans="1:1" s="7" customFormat="1" ht="15" customHeight="1">
      <c r="A51" s="17"/>
    </row>
    <row r="52" spans="1:1" s="7" customFormat="1" ht="15" customHeight="1">
      <c r="A52" s="17"/>
    </row>
  </sheetData>
  <sheetProtection insertRows="0"/>
  <mergeCells count="8">
    <mergeCell ref="B12:D12"/>
    <mergeCell ref="A1:E1"/>
    <mergeCell ref="A2:E2"/>
    <mergeCell ref="A3:E3"/>
    <mergeCell ref="D5:D6"/>
    <mergeCell ref="B7:D11"/>
    <mergeCell ref="E7:E8"/>
    <mergeCell ref="E9:E11"/>
  </mergeCells>
  <printOptions horizontalCentered="1"/>
  <pageMargins left="0" right="0" top="0.25" bottom="0.25" header="0.25" footer="0.15"/>
  <pageSetup fitToHeight="4" orientation="landscape" r:id="rId1"/>
  <headerFooter alignWithMargins="0">
    <oddFooter>&amp;L&amp;9&amp;F&amp;C&amp;10Division of Education Finance&amp;12
&amp;R&amp;P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Annual FY17-18</vt:lpstr>
      <vt:lpstr>CSPC Indicators</vt:lpstr>
      <vt:lpstr>'Annual FY17-18'!Print_Area</vt:lpstr>
      <vt:lpstr>'CSPC Indicators'!Print_Area</vt:lpstr>
      <vt:lpstr>'Annual FY17-18'!Print_Titles</vt:lpstr>
      <vt:lpstr>'CSPC Indicators'!Print_Titles</vt:lpstr>
      <vt:lpstr>'CSPC Indicators'!Print_Titles_MI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Rodney Lilley</cp:lastModifiedBy>
  <cp:lastPrinted>2017-09-11T20:17:53Z</cp:lastPrinted>
  <dcterms:created xsi:type="dcterms:W3CDTF">2001-08-10T20:35:30Z</dcterms:created>
  <dcterms:modified xsi:type="dcterms:W3CDTF">2017-09-11T20:26:51Z</dcterms:modified>
</cp:coreProperties>
</file>